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8"/>
  <workbookPr/>
  <mc:AlternateContent xmlns:mc="http://schemas.openxmlformats.org/markup-compatibility/2006">
    <mc:Choice Requires="x15">
      <x15ac:absPath xmlns:x15ac="http://schemas.microsoft.com/office/spreadsheetml/2010/11/ac" url="/Users/davidhemmerlebr/Convex_us/Convex_us Wohnraumschiff/Projekte/Torbogenhaus/"/>
    </mc:Choice>
  </mc:AlternateContent>
  <xr:revisionPtr revIDLastSave="0" documentId="13_ncr:1_{3C75C60D-03C7-BB4C-82D1-334E03F29273}" xr6:coauthVersionLast="47" xr6:coauthVersionMax="47" xr10:uidLastSave="{00000000-0000-0000-0000-000000000000}"/>
  <bookViews>
    <workbookView xWindow="0" yWindow="500" windowWidth="35840" windowHeight="20520" xr2:uid="{00000000-000D-0000-FFFF-FFFF00000000}"/>
  </bookViews>
  <sheets>
    <sheet name="Umbauphase" sheetId="1" r:id="rId1"/>
    <sheet name="Bezug" sheetId="3" r:id="rId2"/>
    <sheet name="Wohnphase 1" sheetId="5" r:id="rId3"/>
    <sheet name="Wohnphase 2" sheetId="9" r:id="rId4"/>
    <sheet name="Nächste Generation" sheetId="8" r:id="rId5"/>
  </sheets>
  <definedNames>
    <definedName name="_xlnm.Print_Area" localSheetId="1">Bezug!$A$1:$K$66</definedName>
    <definedName name="_xlnm.Print_Area" localSheetId="4">'Nächste Generation'!$A$1:$K$66</definedName>
    <definedName name="_xlnm.Print_Area" localSheetId="0">Umbauphase!$A$1:$K$65</definedName>
    <definedName name="_xlnm.Print_Area" localSheetId="2">'Wohnphase 1'!$A$1:$K$66</definedName>
    <definedName name="_xlnm.Print_Area" localSheetId="3">'Wohnphase 2'!$A$1:$K$66</definedName>
    <definedName name="_xlnm.Print_Area">Umbauphase!$A$1:$J$67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62" i="3" l="1"/>
  <c r="D62" i="9" s="1"/>
  <c r="B62" i="9" s="1"/>
  <c r="B62" i="3"/>
  <c r="F62" i="3"/>
  <c r="B7" i="3"/>
  <c r="D52" i="3"/>
  <c r="C7" i="5"/>
  <c r="B7" i="5"/>
  <c r="H16" i="9"/>
  <c r="H15" i="9"/>
  <c r="E52" i="3"/>
  <c r="F57" i="3" s="1"/>
  <c r="H21" i="9"/>
  <c r="H21" i="5"/>
  <c r="H21" i="3"/>
  <c r="C31" i="1"/>
  <c r="C7" i="8"/>
  <c r="B7" i="8"/>
  <c r="C7" i="9"/>
  <c r="B7" i="9"/>
  <c r="C7" i="3"/>
  <c r="D62" i="5" l="1"/>
  <c r="B62" i="5" s="1"/>
  <c r="D48" i="1"/>
  <c r="A47" i="8" l="1"/>
  <c r="C47" i="8"/>
  <c r="D47" i="8"/>
  <c r="E47" i="8"/>
  <c r="F47" i="8"/>
  <c r="G47" i="8"/>
  <c r="A48" i="8"/>
  <c r="A49" i="8"/>
  <c r="H49" i="8"/>
  <c r="I49" i="8"/>
  <c r="A50" i="8"/>
  <c r="H50" i="8"/>
  <c r="I50" i="8"/>
  <c r="A51" i="8"/>
  <c r="H51" i="8"/>
  <c r="I51" i="8"/>
  <c r="A52" i="8"/>
  <c r="A53" i="8"/>
  <c r="H53" i="8"/>
  <c r="I53" i="8"/>
  <c r="A54" i="8"/>
  <c r="A55" i="8"/>
  <c r="H52" i="5"/>
  <c r="H52" i="9" s="1"/>
  <c r="F52" i="9"/>
  <c r="E52" i="9"/>
  <c r="D52" i="9"/>
  <c r="D57" i="8"/>
  <c r="D57" i="9"/>
  <c r="D52" i="5"/>
  <c r="E52" i="5"/>
  <c r="F52" i="5"/>
  <c r="A57" i="5"/>
  <c r="B57" i="5"/>
  <c r="D57" i="5"/>
  <c r="A47" i="3"/>
  <c r="A47" i="5" s="1"/>
  <c r="B47" i="3"/>
  <c r="B47" i="5" s="1"/>
  <c r="C47" i="3"/>
  <c r="C47" i="5" s="1"/>
  <c r="D47" i="3"/>
  <c r="D47" i="5" s="1"/>
  <c r="E47" i="3"/>
  <c r="E47" i="5" s="1"/>
  <c r="F47" i="3"/>
  <c r="F47" i="5" s="1"/>
  <c r="G47" i="3"/>
  <c r="G47" i="5" s="1"/>
  <c r="I47" i="3"/>
  <c r="I47" i="5" s="1"/>
  <c r="I47" i="9" s="1"/>
  <c r="I47" i="8" s="1"/>
  <c r="A48" i="3"/>
  <c r="A48" i="5" s="1"/>
  <c r="B48" i="3"/>
  <c r="B48" i="9" s="1"/>
  <c r="B48" i="8" s="1"/>
  <c r="A49" i="3"/>
  <c r="A49" i="5" s="1"/>
  <c r="B49" i="3"/>
  <c r="C49" i="3"/>
  <c r="D49" i="3"/>
  <c r="E49" i="3"/>
  <c r="F49" i="3"/>
  <c r="G49" i="3"/>
  <c r="A50" i="3"/>
  <c r="A50" i="5" s="1"/>
  <c r="B50" i="3"/>
  <c r="C50" i="3"/>
  <c r="D50" i="3"/>
  <c r="E50" i="3"/>
  <c r="F50" i="3"/>
  <c r="G50" i="3"/>
  <c r="A51" i="3"/>
  <c r="A51" i="5" s="1"/>
  <c r="B51" i="3"/>
  <c r="C51" i="3"/>
  <c r="D51" i="3"/>
  <c r="E51" i="3"/>
  <c r="F51" i="3"/>
  <c r="G51" i="3"/>
  <c r="A52" i="3"/>
  <c r="A52" i="5" s="1"/>
  <c r="A53" i="3"/>
  <c r="A53" i="5" s="1"/>
  <c r="B53" i="3"/>
  <c r="C53" i="3"/>
  <c r="D53" i="3"/>
  <c r="E53" i="3"/>
  <c r="F53" i="3"/>
  <c r="G53" i="3"/>
  <c r="A54" i="3"/>
  <c r="A54" i="5" s="1"/>
  <c r="B54" i="3"/>
  <c r="C54" i="3"/>
  <c r="D54" i="3"/>
  <c r="D54" i="9" s="1"/>
  <c r="E54" i="3"/>
  <c r="E54" i="9" s="1"/>
  <c r="F54" i="3"/>
  <c r="A55" i="3"/>
  <c r="A55" i="5" s="1"/>
  <c r="A41" i="3"/>
  <c r="A41" i="5" s="1"/>
  <c r="B41" i="3"/>
  <c r="B41" i="5" s="1"/>
  <c r="C41" i="3"/>
  <c r="C41" i="5" s="1"/>
  <c r="A42" i="3"/>
  <c r="A42" i="5" s="1"/>
  <c r="A42" i="9" s="1"/>
  <c r="A43" i="3"/>
  <c r="A43" i="5" s="1"/>
  <c r="A43" i="8" s="1"/>
  <c r="B43" i="3"/>
  <c r="B43" i="5" s="1"/>
  <c r="A44" i="3"/>
  <c r="A44" i="5" s="1"/>
  <c r="A45" i="3"/>
  <c r="A45" i="5" s="1"/>
  <c r="B33" i="3"/>
  <c r="B33" i="5" s="1"/>
  <c r="B33" i="9" s="1"/>
  <c r="B33" i="8" s="1"/>
  <c r="B35" i="3"/>
  <c r="B35" i="5" s="1"/>
  <c r="B35" i="9" s="1"/>
  <c r="B35" i="8" s="1"/>
  <c r="B36" i="3"/>
  <c r="B36" i="5" s="1"/>
  <c r="B36" i="9" s="1"/>
  <c r="B36" i="8" s="1"/>
  <c r="C26" i="3"/>
  <c r="C26" i="5" s="1"/>
  <c r="C26" i="9" s="1"/>
  <c r="C26" i="8" s="1"/>
  <c r="C27" i="3"/>
  <c r="C27" i="5" s="1"/>
  <c r="C27" i="9" s="1"/>
  <c r="C27" i="8" s="1"/>
  <c r="C28" i="3"/>
  <c r="C28" i="5" s="1"/>
  <c r="C28" i="9" s="1"/>
  <c r="C28" i="8" s="1"/>
  <c r="C29" i="3"/>
  <c r="C29" i="5" s="1"/>
  <c r="C29" i="9" s="1"/>
  <c r="C29" i="8" s="1"/>
  <c r="C30" i="3"/>
  <c r="C30" i="5" s="1"/>
  <c r="C30" i="9" s="1"/>
  <c r="C30" i="8" s="1"/>
  <c r="A3" i="3"/>
  <c r="B3" i="3"/>
  <c r="E3" i="3"/>
  <c r="G3" i="3"/>
  <c r="G3" i="5" s="1"/>
  <c r="G3" i="9" s="1"/>
  <c r="G3" i="8" s="1"/>
  <c r="B10" i="3"/>
  <c r="B10" i="5" s="1"/>
  <c r="D34" i="9"/>
  <c r="C34" i="9"/>
  <c r="C21" i="9"/>
  <c r="D16" i="9"/>
  <c r="F16" i="9" s="1"/>
  <c r="D15" i="9"/>
  <c r="F15" i="9" s="1"/>
  <c r="D14" i="9"/>
  <c r="F14" i="9" s="1"/>
  <c r="D13" i="9"/>
  <c r="F13" i="9" s="1"/>
  <c r="D12" i="9"/>
  <c r="F12" i="9" s="1"/>
  <c r="D11" i="9"/>
  <c r="F11" i="9" s="1"/>
  <c r="E7" i="9"/>
  <c r="B62" i="8"/>
  <c r="D34" i="8"/>
  <c r="C34" i="8" s="1"/>
  <c r="C21" i="8"/>
  <c r="D16" i="8"/>
  <c r="F16" i="8" s="1"/>
  <c r="D15" i="8"/>
  <c r="F15" i="8" s="1"/>
  <c r="D14" i="8"/>
  <c r="F14" i="8" s="1"/>
  <c r="D13" i="8"/>
  <c r="F13" i="8" s="1"/>
  <c r="D12" i="8"/>
  <c r="F12" i="8" s="1"/>
  <c r="D11" i="8"/>
  <c r="F11" i="8" s="1"/>
  <c r="E7" i="8"/>
  <c r="D34" i="5"/>
  <c r="C34" i="5"/>
  <c r="C21" i="5"/>
  <c r="D16" i="5"/>
  <c r="F16" i="5" s="1"/>
  <c r="D15" i="5"/>
  <c r="F15" i="5" s="1"/>
  <c r="D14" i="5"/>
  <c r="F14" i="5" s="1"/>
  <c r="D13" i="5"/>
  <c r="F13" i="5" s="1"/>
  <c r="D12" i="5"/>
  <c r="F12" i="5" s="1"/>
  <c r="D11" i="5"/>
  <c r="F11" i="5" s="1"/>
  <c r="E7" i="5"/>
  <c r="B54" i="9" l="1"/>
  <c r="B54" i="8" s="1"/>
  <c r="B54" i="5"/>
  <c r="G53" i="9"/>
  <c r="G53" i="5"/>
  <c r="F53" i="9"/>
  <c r="F53" i="8" s="1"/>
  <c r="F53" i="5"/>
  <c r="E53" i="9"/>
  <c r="E53" i="8" s="1"/>
  <c r="E53" i="5"/>
  <c r="D53" i="9"/>
  <c r="D53" i="8" s="1"/>
  <c r="D53" i="5"/>
  <c r="C53" i="9"/>
  <c r="C53" i="8" s="1"/>
  <c r="C53" i="5"/>
  <c r="B53" i="9"/>
  <c r="B53" i="8" s="1"/>
  <c r="B53" i="5"/>
  <c r="G51" i="9"/>
  <c r="G51" i="8" s="1"/>
  <c r="G51" i="5"/>
  <c r="F51" i="9"/>
  <c r="F51" i="8" s="1"/>
  <c r="F51" i="5"/>
  <c r="E51" i="9"/>
  <c r="E51" i="8" s="1"/>
  <c r="E51" i="5"/>
  <c r="D51" i="9"/>
  <c r="D51" i="8" s="1"/>
  <c r="D51" i="5"/>
  <c r="C51" i="9"/>
  <c r="C51" i="8" s="1"/>
  <c r="C51" i="5"/>
  <c r="B51" i="9"/>
  <c r="B51" i="8" s="1"/>
  <c r="B51" i="5"/>
  <c r="G50" i="9"/>
  <c r="G50" i="8" s="1"/>
  <c r="G50" i="5"/>
  <c r="F50" i="9"/>
  <c r="F50" i="8" s="1"/>
  <c r="F50" i="5"/>
  <c r="E50" i="9"/>
  <c r="E50" i="8" s="1"/>
  <c r="E50" i="5"/>
  <c r="D50" i="9"/>
  <c r="D50" i="8" s="1"/>
  <c r="D50" i="5"/>
  <c r="C50" i="9"/>
  <c r="C50" i="8" s="1"/>
  <c r="C50" i="5"/>
  <c r="B50" i="9"/>
  <c r="B50" i="8" s="1"/>
  <c r="B50" i="5"/>
  <c r="G49" i="9"/>
  <c r="G49" i="8" s="1"/>
  <c r="G49" i="5"/>
  <c r="F49" i="9"/>
  <c r="F49" i="8" s="1"/>
  <c r="F49" i="5"/>
  <c r="E49" i="9"/>
  <c r="E49" i="8" s="1"/>
  <c r="E49" i="5"/>
  <c r="D49" i="9"/>
  <c r="D49" i="8" s="1"/>
  <c r="D49" i="5"/>
  <c r="C49" i="9"/>
  <c r="C49" i="8" s="1"/>
  <c r="C49" i="5"/>
  <c r="B49" i="9"/>
  <c r="B49" i="8" s="1"/>
  <c r="B49" i="5"/>
  <c r="B48" i="5"/>
  <c r="D48" i="5"/>
  <c r="D48" i="3"/>
  <c r="B43" i="8"/>
  <c r="B43" i="9"/>
  <c r="A44" i="9"/>
  <c r="A44" i="8"/>
  <c r="C41" i="9"/>
  <c r="C41" i="8"/>
  <c r="A41" i="8"/>
  <c r="A41" i="9"/>
  <c r="A45" i="9"/>
  <c r="A45" i="8"/>
  <c r="B41" i="8"/>
  <c r="B41" i="9"/>
  <c r="A42" i="8"/>
  <c r="A43" i="9"/>
  <c r="B17" i="5"/>
  <c r="B61" i="5" s="1"/>
  <c r="D10" i="5"/>
  <c r="D17" i="5" s="1"/>
  <c r="B10" i="9" l="1"/>
  <c r="D48" i="9" s="1"/>
  <c r="F10" i="5"/>
  <c r="F17" i="5" s="1"/>
  <c r="B58" i="5" s="1"/>
  <c r="B63" i="5" s="1"/>
  <c r="D10" i="9"/>
  <c r="B17" i="9"/>
  <c r="B61" i="9" s="1"/>
  <c r="B10" i="8"/>
  <c r="D48" i="8" s="1"/>
  <c r="B17" i="8" l="1"/>
  <c r="B61" i="8" s="1"/>
  <c r="D10" i="8"/>
  <c r="D17" i="9"/>
  <c r="F10" i="9"/>
  <c r="F17" i="9" s="1"/>
  <c r="B58" i="9" s="1"/>
  <c r="B63" i="9" s="1"/>
  <c r="D64" i="9" s="1"/>
  <c r="D64" i="5"/>
  <c r="D17" i="8" l="1"/>
  <c r="F10" i="8"/>
  <c r="F17" i="8" s="1"/>
  <c r="B58" i="8" s="1"/>
  <c r="B63" i="8" s="1"/>
  <c r="D64" i="8" s="1"/>
  <c r="D34" i="3" l="1"/>
  <c r="C34" i="3" s="1"/>
  <c r="C21" i="3"/>
  <c r="B17" i="3"/>
  <c r="B61" i="3" s="1"/>
  <c r="D16" i="3"/>
  <c r="F16" i="3" s="1"/>
  <c r="D15" i="3"/>
  <c r="F15" i="3" s="1"/>
  <c r="D14" i="3"/>
  <c r="F14" i="3" s="1"/>
  <c r="D13" i="3"/>
  <c r="F13" i="3" s="1"/>
  <c r="D12" i="3"/>
  <c r="F12" i="3" s="1"/>
  <c r="D11" i="3"/>
  <c r="F11" i="3" s="1"/>
  <c r="D10" i="3"/>
  <c r="F10" i="3" s="1"/>
  <c r="E7" i="3"/>
  <c r="B17" i="1"/>
  <c r="D17" i="3" l="1"/>
  <c r="F17" i="3"/>
  <c r="B58" i="3" s="1"/>
  <c r="C21" i="1"/>
  <c r="E7" i="1" l="1"/>
  <c r="B20" i="1" l="1"/>
  <c r="B21" i="1" s="1"/>
  <c r="B22" i="1" s="1"/>
  <c r="B23" i="1" s="1"/>
  <c r="B42" i="1" s="1"/>
  <c r="E42" i="1" s="1"/>
  <c r="B20" i="3"/>
  <c r="B63" i="3"/>
  <c r="D64" i="3" s="1"/>
  <c r="G54" i="1"/>
  <c r="G54" i="3" s="1"/>
  <c r="D34" i="1"/>
  <c r="C4" i="1" l="1"/>
  <c r="G54" i="9"/>
  <c r="G54" i="5"/>
  <c r="B20" i="5"/>
  <c r="B21" i="3"/>
  <c r="B22" i="3" s="1"/>
  <c r="B23" i="3" s="1"/>
  <c r="C34" i="1"/>
  <c r="D14" i="1"/>
  <c r="F14" i="1" s="1"/>
  <c r="D13" i="1"/>
  <c r="F13" i="1" s="1"/>
  <c r="D12" i="1"/>
  <c r="F12" i="1" s="1"/>
  <c r="D10" i="1"/>
  <c r="F10" i="1" s="1"/>
  <c r="D11" i="1"/>
  <c r="F11" i="1" s="1"/>
  <c r="D15" i="1"/>
  <c r="F15" i="1" s="1"/>
  <c r="D16" i="1"/>
  <c r="F16" i="1" s="1"/>
  <c r="D27" i="3" l="1"/>
  <c r="D28" i="3"/>
  <c r="E28" i="3" s="1"/>
  <c r="D26" i="3"/>
  <c r="E26" i="3" s="1"/>
  <c r="D30" i="3"/>
  <c r="E30" i="3" s="1"/>
  <c r="D29" i="3"/>
  <c r="E29" i="3" s="1"/>
  <c r="B20" i="9"/>
  <c r="B21" i="5"/>
  <c r="B22" i="5" s="1"/>
  <c r="B23" i="5" s="1"/>
  <c r="D30" i="1"/>
  <c r="E30" i="1" s="1"/>
  <c r="D28" i="1"/>
  <c r="E28" i="1" s="1"/>
  <c r="D26" i="1"/>
  <c r="E26" i="1" s="1"/>
  <c r="D29" i="1"/>
  <c r="E29" i="1" s="1"/>
  <c r="D27" i="1"/>
  <c r="D17" i="1"/>
  <c r="F17" i="1"/>
  <c r="B58" i="1" s="1"/>
  <c r="B20" i="8" l="1"/>
  <c r="B21" i="8" s="1"/>
  <c r="B22" i="8" s="1"/>
  <c r="B23" i="8" s="1"/>
  <c r="B21" i="9"/>
  <c r="B22" i="9" s="1"/>
  <c r="B23" i="9" s="1"/>
  <c r="D26" i="5"/>
  <c r="E26" i="5" s="1"/>
  <c r="D28" i="5"/>
  <c r="D27" i="5"/>
  <c r="E27" i="5" s="1"/>
  <c r="D29" i="5"/>
  <c r="E29" i="5" s="1"/>
  <c r="D30" i="5"/>
  <c r="E30" i="5" s="1"/>
  <c r="E27" i="3"/>
  <c r="F30" i="3" s="1"/>
  <c r="F29" i="3" s="1"/>
  <c r="B60" i="3"/>
  <c r="B60" i="1"/>
  <c r="B68" i="1" s="1"/>
  <c r="E27" i="1"/>
  <c r="F30" i="1" s="1"/>
  <c r="F29" i="1" s="1"/>
  <c r="F27" i="3" l="1"/>
  <c r="E28" i="5"/>
  <c r="F27" i="5" s="1"/>
  <c r="B60" i="5"/>
  <c r="D30" i="9"/>
  <c r="E30" i="9" s="1"/>
  <c r="D27" i="9"/>
  <c r="E27" i="9" s="1"/>
  <c r="D28" i="9"/>
  <c r="E28" i="9" s="1"/>
  <c r="D29" i="9"/>
  <c r="D26" i="9"/>
  <c r="E26" i="9" s="1"/>
  <c r="F30" i="5"/>
  <c r="F29" i="5" s="1"/>
  <c r="D30" i="8"/>
  <c r="D28" i="8"/>
  <c r="E28" i="8" s="1"/>
  <c r="D26" i="8"/>
  <c r="E26" i="8" s="1"/>
  <c r="D27" i="8"/>
  <c r="E27" i="8" s="1"/>
  <c r="D29" i="8"/>
  <c r="E29" i="8" s="1"/>
  <c r="B34" i="1"/>
  <c r="F27" i="1"/>
  <c r="E29" i="9" l="1"/>
  <c r="F30" i="9" s="1"/>
  <c r="F29" i="9" s="1"/>
  <c r="B60" i="9"/>
  <c r="E30" i="8"/>
  <c r="F30" i="8" s="1"/>
  <c r="F29" i="8" s="1"/>
  <c r="B60" i="8"/>
  <c r="B34" i="3"/>
  <c r="B34" i="5" s="1"/>
  <c r="B34" i="9" s="1"/>
  <c r="B34" i="8" s="1"/>
  <c r="F27" i="9" l="1"/>
  <c r="F27" i="8"/>
  <c r="B64" i="8" l="1"/>
  <c r="B66" i="8" s="1"/>
  <c r="B67" i="8" l="1"/>
  <c r="B68" i="8" s="1"/>
  <c r="A66" i="8"/>
  <c r="B44" i="1" l="1"/>
  <c r="B45" i="1" s="1"/>
  <c r="C42" i="1" s="1"/>
  <c r="B42" i="3"/>
  <c r="B42" i="5" s="1"/>
  <c r="B42" i="8" s="1"/>
  <c r="B45" i="3" l="1"/>
  <c r="C42" i="3" s="1"/>
  <c r="C43" i="1"/>
  <c r="B44" i="3"/>
  <c r="B44" i="5" s="1"/>
  <c r="B42" i="9"/>
  <c r="C43" i="3" l="1"/>
  <c r="B45" i="5"/>
  <c r="C43" i="5" s="1"/>
  <c r="B44" i="9"/>
  <c r="B44" i="8"/>
  <c r="C42" i="5" l="1"/>
  <c r="B45" i="9"/>
  <c r="C43" i="9" s="1"/>
  <c r="B45" i="8"/>
  <c r="C43" i="8" s="1"/>
  <c r="C42" i="8" l="1"/>
  <c r="C42" i="9"/>
  <c r="B37" i="3"/>
  <c r="B37" i="5" s="1"/>
  <c r="B37" i="9" s="1"/>
  <c r="B37" i="8" s="1"/>
  <c r="B38" i="1"/>
  <c r="B39" i="1" s="1"/>
  <c r="B38" i="3" l="1"/>
  <c r="B38" i="5" s="1"/>
  <c r="B38" i="9" s="1"/>
  <c r="B38" i="8" s="1"/>
  <c r="B52" i="1"/>
  <c r="B39" i="3"/>
  <c r="B39" i="5" s="1"/>
  <c r="B39" i="9" s="1"/>
  <c r="B39" i="8" s="1"/>
  <c r="G52" i="1" l="1"/>
  <c r="G55" i="1" s="1"/>
  <c r="B52" i="3"/>
  <c r="B55" i="1"/>
  <c r="I52" i="1"/>
  <c r="B52" i="9" l="1"/>
  <c r="G52" i="3"/>
  <c r="B52" i="5"/>
  <c r="I52" i="3"/>
  <c r="C48" i="1"/>
  <c r="C48" i="3" s="1"/>
  <c r="B55" i="3"/>
  <c r="B64" i="1"/>
  <c r="B65" i="1" s="1"/>
  <c r="A65" i="1" s="1"/>
  <c r="B69" i="1"/>
  <c r="B70" i="1" s="1"/>
  <c r="B55" i="5" l="1"/>
  <c r="B55" i="9"/>
  <c r="B55" i="8" s="1"/>
  <c r="G55" i="3"/>
  <c r="G52" i="9"/>
  <c r="C48" i="5"/>
  <c r="C48" i="9"/>
  <c r="C48" i="8" s="1"/>
  <c r="I52" i="5"/>
  <c r="G52" i="5"/>
  <c r="B52" i="8"/>
  <c r="I52" i="9"/>
  <c r="G55" i="9" l="1"/>
  <c r="B64" i="9" s="1"/>
  <c r="B66" i="9" s="1"/>
  <c r="G55" i="5"/>
  <c r="B64" i="5" s="1"/>
  <c r="B66" i="5" s="1"/>
  <c r="B64" i="3"/>
  <c r="B66" i="3" s="1"/>
  <c r="B67" i="5" l="1"/>
  <c r="B68" i="5" s="1"/>
  <c r="A66" i="5"/>
  <c r="A66" i="3"/>
  <c r="B67" i="3"/>
  <c r="B68" i="3" s="1"/>
  <c r="B67" i="9"/>
  <c r="B68" i="9" s="1"/>
  <c r="A6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tc={DB169D07-96B4-4433-902C-1CCD5ED88091}</author>
    <author>tc={B7828A07-EDB6-4E04-978D-E49796C9DD84}</author>
    <author>tc={A1331CFC-126E-46F7-A6DB-D143448FE5FF}</author>
    <author>tc={90E5A06C-01EE-4B74-8CBA-BDFC76841594}</author>
    <author>tc={DEB4754C-BCCD-4E00-AC45-46A8E0CD1A07}</author>
    <author>tc={A3D50898-F0E1-4808-B438-4B8D89D4C56B}</author>
    <author>tc={95AF6CEE-047E-430A-8E4A-C7C4CE7B5B37}</author>
    <author>tc={AEC8A19D-FEEB-48E5-8200-4EA589C38327}</author>
    <author>tc={C3734D01-A601-43A9-B4F7-901A5B192CF3}</author>
    <author>tc={F88BBF30-BF4F-458C-839D-163DE4A499F7}</author>
    <author>Rolf Novy-Huy</author>
    <author>tc={B75FACCD-297D-4D97-B7C1-B0843717A484}</author>
    <author>tc={C4CA9C92-BC5F-47AB-BFBE-BF4ED802C438}</author>
    <author>tc={596890A4-7C42-4F2F-BF1A-0589EF5C3F4E}</author>
    <author>tc={C73AE4AF-3BA5-4DE6-88EA-E0E26C08D758}</author>
  </authors>
  <commentList>
    <comment ref="C10" authorId="0" shapeId="0" xr:uid="{DB169D07-96B4-4433-902C-1CCD5ED88091}">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**kalt**</t>
        </r>
      </text>
    </comment>
    <comment ref="D21" authorId="1" shapeId="0" xr:uid="{B7828A07-EDB6-4E04-978D-E49796C9DD84}">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Je nach Bundesland unterschiedlich</t>
        </r>
      </text>
    </comment>
    <comment ref="E21" authorId="2" shapeId="0" xr:uid="{A1331CFC-126E-46F7-A6DB-D143448FE5FF}">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Grunderwerbsteuer</t>
        </r>
      </text>
    </comment>
    <comment ref="H21" authorId="3" shapeId="0" xr:uid="{90E5A06C-01EE-4B74-8CBA-BDFC76841594}">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ohne Makler bei 0%</t>
        </r>
      </text>
    </comment>
    <comment ref="E25" authorId="4" shapeId="0" xr:uid="{DEB4754C-BCCD-4E00-AC45-46A8E0CD1A07}">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Betrachtungsweise des Finanzamtes:
Ein Erbbaurecht ist wie ein Kauf mit (teilw.) gestundetem Kaufpreis -&gt; daher sind diese Werte zu versteuern (Zeile 34)</t>
        </r>
      </text>
    </comment>
    <comment ref="C30" authorId="5" shapeId="0" xr:uid="{A3D50898-F0E1-4808-B438-4B8D89D4C56B}">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3,2% wäre unser Wunsch, um dann wieder gut junge Projekte anschieben zu können. Sollte die Finanzierungsplanung zum Zeitpunkt der ErbbauR-Vertrags-Unterzeichnung dies nicht zulässen, haben wir 3% besprochen.
</t>
        </r>
      </text>
    </comment>
    <comment ref="C42" authorId="6" shapeId="0" xr:uid="{95AF6CEE-047E-430A-8E4A-C7C4CE7B5B37}">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Kann aus dem Umfeld der Initiative kommen, steuerlich aktivierbare Schenkung in Stiftungsvermögen
</t>
        </r>
        <r>
          <rPr>
            <sz val="12"/>
            <color rgb="FF000000"/>
            <rFont val="Arial"/>
            <family val="2"/>
          </rPr>
          <t xml:space="preserve">(kann auf bis zu 10 Jahre in der Zukunft von Stiftenden gestreckt in der Steuererklärung geltend gemacht werden)
</t>
        </r>
        <r>
          <rPr>
            <sz val="12"/>
            <color rgb="FF000000"/>
            <rFont val="Arial"/>
            <family val="2"/>
          </rPr>
          <t xml:space="preserve">
</t>
        </r>
        <r>
          <rPr>
            <sz val="12"/>
            <color rgb="FF000000"/>
            <rFont val="Arial"/>
            <family val="2"/>
          </rPr>
          <t>Aus Sicht der Stiftung trias wird dieser Betrag für die eigene Finanzierung (quasi als Eigenkapital) benötigt.</t>
        </r>
      </text>
    </comment>
    <comment ref="A43" authorId="7" shapeId="0" xr:uid="{AEC8A19D-FEEB-48E5-8200-4EA589C38327}">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Mit dem Stiftungsvorstand besprochen, Genehmigung der Stifterin steht aus und soll in der nächsten Verhandlungsrunde eingeholt werden.</t>
        </r>
      </text>
    </comment>
    <comment ref="C43" authorId="8" shapeId="0" xr:uid="{C3734D01-A601-43A9-B4F7-901A5B192CF3}">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Kann aus dem Umfeld der Initiative kommen, steuerlich aktivierbare Schenkung in Stiftungsvermögen
</t>
        </r>
        <r>
          <rPr>
            <sz val="12"/>
            <color rgb="FF000000"/>
            <rFont val="Arial"/>
            <family val="2"/>
          </rPr>
          <t xml:space="preserve">(kann auf bis zu 10 Jahre in der Zukunft von Stiftenden gestreckt in der Steuererklärung geltend gemacht werden)
</t>
        </r>
        <r>
          <rPr>
            <sz val="12"/>
            <color rgb="FF000000"/>
            <rFont val="Arial"/>
            <family val="2"/>
          </rPr>
          <t xml:space="preserve">
</t>
        </r>
        <r>
          <rPr>
            <sz val="12"/>
            <color rgb="FF000000"/>
            <rFont val="Arial"/>
            <family val="2"/>
          </rPr>
          <t>Aus Sicht der Stiftung trias wird dieser Betrag für die eigene Finanzierung (quasi als Eigenkapital) benötigt.</t>
        </r>
      </text>
    </comment>
    <comment ref="C48" authorId="9" shapeId="0" xr:uid="{F88BBF30-BF4F-458C-839D-163DE4A499F7}">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Banken fordern idR mindestens ~20% EK(-Ersatz)</t>
        </r>
      </text>
    </comment>
    <comment ref="H51" authorId="10" shapeId="0" xr:uid="{00000000-0006-0000-0000-000005000000}">
      <text>
        <r>
          <rPr>
            <sz val="10"/>
            <color indexed="81"/>
            <rFont val="Verdana"/>
            <family val="2"/>
          </rPr>
          <t>Zinssteigerung auf 4 bis 5 % sollte als realistischens Szenario durchdacht werden.</t>
        </r>
      </text>
    </comment>
    <comment ref="B52" authorId="11" shapeId="0" xr:uid="{B75FACCD-297D-4D97-B7C1-B0843717A484}">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Den Rest der Gesamtkosten wird man über irgendeinen Kredit finanzieren - die jährliche Belastung hieraus (Zins+Tilgung) ist bei fast allen Krediten aktuell ~4%, daher hier erstmal stark vereinfacht.</t>
        </r>
      </text>
    </comment>
    <comment ref="D62" authorId="12" shapeId="0" xr:uid="{C4CA9C92-BC5F-47AB-BFBE-BF4ED802C438}">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Erst ab Jahr 4</t>
        </r>
      </text>
    </comment>
    <comment ref="F62" authorId="13" shapeId="0" xr:uid="{596890A4-7C42-4F2F-BF1A-0589EF5C3F4E}">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Erst ab Jahr 5</t>
        </r>
      </text>
    </comment>
    <comment ref="D64" authorId="14" shapeId="0" xr:uid="{C73AE4AF-3BA5-4DE6-88EA-E0E26C08D758}">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Vonseiten vieler Banken werden hier einfach immer 25% angesetzt. Weniger als 15% der Kaltmiete sollte hier aber auf gar keinen Fall herauskommen.
</t>
        </r>
        <r>
          <rPr>
            <sz val="12"/>
            <color rgb="FF000000"/>
            <rFont val="Arial"/>
            <family val="2"/>
          </rPr>
          <t xml:space="preserve">Antwort:
</t>
        </r>
        <r>
          <rPr>
            <sz val="12"/>
            <color rgb="FF000000"/>
            <rFont val="Arial"/>
            <family val="2"/>
          </rPr>
          <t xml:space="preserve">    Während der Bauphase noch nicht relevant, da keine Mieteinnahmen.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tc={85AA26C3-0E36-41B2-BDAD-152152078735}</author>
    <author>tc={C4D8A9EB-DEC8-4268-BCB5-66223FF95A34}</author>
    <author>tc={6B11006E-8934-4207-A4D2-FB5CE271AA59}</author>
    <author>tc={DED3FA9E-8386-4299-8EDB-6455D068D755}</author>
    <author>tc={D493E626-DA00-4C0A-83BF-31D29007FB5B}</author>
    <author>tc={3A93A29C-C665-48A2-BD29-02F8B4E4C3C1}</author>
    <author>tc={2F0BF79B-E7C4-4E1A-9305-0BCE4D8CFE6D}</author>
    <author>Rolf Novy-Huy</author>
    <author>tc={374C9027-495E-4CA2-A8B6-E9F15BA1FEF0}</author>
    <author>tc={2417FBFD-5E49-42FA-990B-AEC69603CE13}</author>
    <author>tc={EDADB56B-FCC7-46A1-A4C9-0CB383C4FCD1}</author>
    <author>tc={0A090BDE-919E-43C4-B834-BD1D1F99D4F7}</author>
  </authors>
  <commentList>
    <comment ref="C10" authorId="0" shapeId="0" xr:uid="{85AA26C3-0E36-41B2-BDAD-152152078735}">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**kalt**</t>
        </r>
      </text>
    </comment>
    <comment ref="D21" authorId="1" shapeId="0" xr:uid="{C4D8A9EB-DEC8-4268-BCB5-66223FF95A34}">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Je nach Bundesland unterschiedlich</t>
        </r>
      </text>
    </comment>
    <comment ref="E21" authorId="2" shapeId="0" xr:uid="{6B11006E-8934-4207-A4D2-FB5CE271AA59}">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Grunderwerbsteuer</t>
        </r>
      </text>
    </comment>
    <comment ref="H21" authorId="3" shapeId="0" xr:uid="{DED3FA9E-8386-4299-8EDB-6455D068D755}">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ohne Makler bei 0%</t>
        </r>
      </text>
    </comment>
    <comment ref="E25" authorId="4" shapeId="0" xr:uid="{D493E626-DA00-4C0A-83BF-31D29007FB5B}">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Betrachtungsweise des Finanzamtes:
Ein Erbbaurecht ist wie ein Kauf mit (teilw.) gestundetem Kaufpreis -&gt; daher sind diese Werte zu versteuern (Zeile 34)</t>
        </r>
      </text>
    </comment>
    <comment ref="C42" authorId="5" shapeId="0" xr:uid="{3A93A29C-C665-48A2-BD29-02F8B4E4C3C1}">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Kann aus dem Umfeld der Initiative kommen, steuerlich aktivierbare Schenkung in Stiftungsvermögen
</t>
        </r>
        <r>
          <rPr>
            <sz val="12"/>
            <color rgb="FF000000"/>
            <rFont val="Arial"/>
            <family val="2"/>
          </rPr>
          <t xml:space="preserve">(kann auf bis zu 10 Jahre in der Zukunft von Stiftenden gestreckt in der Steuererklärung geltend gemacht werden)
</t>
        </r>
        <r>
          <rPr>
            <sz val="12"/>
            <color rgb="FF000000"/>
            <rFont val="Arial"/>
            <family val="2"/>
          </rPr>
          <t xml:space="preserve">
</t>
        </r>
        <r>
          <rPr>
            <sz val="12"/>
            <color rgb="FF000000"/>
            <rFont val="Arial"/>
            <family val="2"/>
          </rPr>
          <t>Aus Sicht der Stiftung trias wird dieser Betrag für die eigene Finanzierung (quasi als Eigenkapital) benötigt.</t>
        </r>
      </text>
    </comment>
    <comment ref="C43" authorId="6" shapeId="0" xr:uid="{2F0BF79B-E7C4-4E1A-9305-0BCE4D8CFE6D}">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
        </r>
      </text>
    </comment>
    <comment ref="I46" authorId="7" shapeId="0" xr:uid="{022C18F3-1EEB-488B-A2D6-17D95F9AF8C7}">
      <text>
        <r>
          <rPr>
            <b/>
            <sz val="8"/>
            <color indexed="81"/>
            <rFont val="Tahoma"/>
            <family val="2"/>
          </rPr>
          <t>Rolf Novy-Huy:</t>
        </r>
        <r>
          <rPr>
            <sz val="8"/>
            <color indexed="81"/>
            <rFont val="Tahoma"/>
            <family val="2"/>
          </rPr>
          <t xml:space="preserve">
vom Institut mitteilen lassen, oder separat berechnen.</t>
        </r>
      </text>
    </comment>
    <comment ref="C48" authorId="8" shapeId="0" xr:uid="{374C9027-495E-4CA2-A8B6-E9F15BA1FEF0}">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Banken fordern idR ~20% EK(-Ersatz)</t>
        </r>
      </text>
    </comment>
    <comment ref="H51" authorId="7" shapeId="0" xr:uid="{48B32785-839C-40FD-BFCC-61A92DB29FB2}">
      <text>
        <r>
          <rPr>
            <sz val="10"/>
            <color indexed="81"/>
            <rFont val="Verdana"/>
            <family val="2"/>
          </rPr>
          <t>Zinssteigerung auf 4 bis 5 % sollte als realistischens Szenario durchdacht werden.</t>
        </r>
      </text>
    </comment>
    <comment ref="B52" authorId="9" shapeId="0" xr:uid="{2417FBFD-5E49-42FA-990B-AEC69603CE13}">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Den Rest der Gesamtkosten wird man über irgendeinen Kredit finanzieren - die jährliche Belastung hieraus (Zins+Tilgung) ist bei fast allen Krediten aktuell ~4%, daher hier erstmal stark vereinfacht.</t>
        </r>
      </text>
    </comment>
    <comment ref="B61" authorId="10" shapeId="0" xr:uid="{EDADB56B-FCC7-46A1-A4C9-0CB383C4FCD1}">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9,- € zu optimistisch</t>
        </r>
      </text>
    </comment>
    <comment ref="D64" authorId="11" shapeId="0" xr:uid="{0A090BDE-919E-43C4-B834-BD1D1F99D4F7}">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Vonseiten vielen Banken werden hier einfach immer 25% angesetzt. Weniger als 15% der Kaltmiete sollte hier aber auf gar keinen Fall herauskommen.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tc={2CFB1D3D-5FF3-4D0F-A655-73BCE054D7A6}</author>
    <author>tc={B4F65A23-E9D4-4551-972E-AB9A56C06F65}</author>
    <author>tc={92C7FC98-761B-45AB-BADB-3BF4C802EBAC}</author>
    <author>tc={DED3FA9E-8386-429A-8EDB-6455D068D755}</author>
    <author>tc={F6974D65-B935-4140-9536-155762B89040}</author>
    <author>tc={A56DC7D2-8EBF-4D8C-8C53-13957A25610F}</author>
    <author>tc={E93AD0B8-3BED-4094-85EB-E4C7073EBCB6}</author>
    <author>Rolf Novy-Huy</author>
    <author>tc={29433645-08E4-4A81-AF1C-C4189D9633A4}</author>
    <author>tc={CB3DB165-F698-497D-AE3E-982FDEE70F45}</author>
    <author>tc={9DAA7647-D1D8-40B1-AA94-3C5F473520F8}</author>
    <author>tc={DB60F06A-2F0A-4099-BF51-B22F413575AC}</author>
  </authors>
  <commentList>
    <comment ref="C10" authorId="0" shapeId="0" xr:uid="{2CFB1D3D-5FF3-4D0F-A655-73BCE054D7A6}">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**kalt**</t>
        </r>
      </text>
    </comment>
    <comment ref="D21" authorId="1" shapeId="0" xr:uid="{B4F65A23-E9D4-4551-972E-AB9A56C06F65}">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Je nach Bundesland unterschiedlich</t>
        </r>
      </text>
    </comment>
    <comment ref="E21" authorId="2" shapeId="0" xr:uid="{92C7FC98-761B-45AB-BADB-3BF4C802EBAC}">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Grunderwerbsteuer</t>
        </r>
      </text>
    </comment>
    <comment ref="H21" authorId="3" shapeId="0" xr:uid="{87B47059-34D7-D741-B1F4-643AE2870C2C}">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ohne Makler bei 0%</t>
        </r>
      </text>
    </comment>
    <comment ref="E25" authorId="4" shapeId="0" xr:uid="{F6974D65-B935-4140-9536-155762B89040}">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Betrachtungsweise des Finanzamtes:
Ein Erbbaurecht ist wie ein Kauf mit (teilw.) gestundetem Kaufpreis -&gt; daher sind diese Werte zu versteuern (Zeile 34)</t>
        </r>
      </text>
    </comment>
    <comment ref="C42" authorId="5" shapeId="0" xr:uid="{A56DC7D2-8EBF-4D8C-8C53-13957A25610F}">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
        </r>
      </text>
    </comment>
    <comment ref="C43" authorId="6" shapeId="0" xr:uid="{E93AD0B8-3BED-4094-85EB-E4C7073EBCB6}">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
        </r>
      </text>
    </comment>
    <comment ref="I46" authorId="7" shapeId="0" xr:uid="{A2E74799-7BC9-4DD6-AF34-2191EF4D6B2A}">
      <text>
        <r>
          <rPr>
            <b/>
            <sz val="8"/>
            <color indexed="81"/>
            <rFont val="Tahoma"/>
            <family val="2"/>
          </rPr>
          <t>Rolf Novy-Huy:</t>
        </r>
        <r>
          <rPr>
            <sz val="8"/>
            <color indexed="81"/>
            <rFont val="Tahoma"/>
            <family val="2"/>
          </rPr>
          <t xml:space="preserve">
vom Institut mitteilen lassen, oder separat berechnen.</t>
        </r>
      </text>
    </comment>
    <comment ref="C48" authorId="8" shapeId="0" xr:uid="{29433645-08E4-4A81-AF1C-C4189D9633A4}">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Banken fordern idR ~20% EK(-Ersatz)</t>
        </r>
      </text>
    </comment>
    <comment ref="H51" authorId="7" shapeId="0" xr:uid="{B950C7DE-4627-4AF0-9EB8-CE12D049701D}">
      <text>
        <r>
          <rPr>
            <sz val="10"/>
            <color indexed="81"/>
            <rFont val="Verdana"/>
            <family val="2"/>
          </rPr>
          <t>Zinssteigerung auf 4 bis 5 % sollte als realistischens Szenario durchdacht werden.</t>
        </r>
      </text>
    </comment>
    <comment ref="B52" authorId="9" shapeId="0" xr:uid="{CB3DB165-F698-497D-AE3E-982FDEE70F45}">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Den Rest der Gesamtkosten wird man über irgendeinen Kredit finanzieren - die jährliche Belastung hieraus (Zins+Tilgung) ist bei fast allen Krediten aktuell ~4%, daher hier erstmal stark vereinfacht.</t>
        </r>
      </text>
    </comment>
    <comment ref="B61" authorId="10" shapeId="0" xr:uid="{9DAA7647-D1D8-40B1-AA94-3C5F473520F8}">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9,- € zu optimistisch</t>
        </r>
      </text>
    </comment>
    <comment ref="D64" authorId="11" shapeId="0" xr:uid="{DB60F06A-2F0A-4099-BF51-B22F413575AC}">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Vonseiten vielen Banken werden hier einfach immer 25% angesetzt. Weniger als 15% der Kaltmiete sollte hier aber auf gar keinen Fall herauskommen.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tc={029782CC-FBBD-4AE1-87E7-D3C5E0E4E9DA}</author>
    <author>tc={1521472E-F27B-43B1-9A87-D0544A5C2647}</author>
    <author>tc={9CFFD80C-DC3F-4470-9654-3B867FB23393}</author>
    <author>tc={DED3FA9E-8386-429B-8EDB-6455D068D755}</author>
    <author>tc={9349FB8C-4D1D-4D2F-9138-6B404438E47D}</author>
    <author>tc={C3388F65-B109-4F15-B596-0981FAC952C8}</author>
    <author>tc={DA08C30E-E82E-4166-BB01-1DC8F7B2BE10}</author>
    <author>Rolf Novy-Huy</author>
    <author>tc={CD045FDE-F529-473B-AAEC-E3C43EB2ABA3}</author>
    <author>tc={DD378467-319D-4F27-BE7E-787CB5541813}</author>
    <author>tc={394C7846-1883-47EA-90E4-254CFFAC2E81}</author>
  </authors>
  <commentList>
    <comment ref="C10" authorId="0" shapeId="0" xr:uid="{029782CC-FBBD-4AE1-87E7-D3C5E0E4E9DA}">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**kalt**</t>
        </r>
      </text>
    </comment>
    <comment ref="D21" authorId="1" shapeId="0" xr:uid="{1521472E-F27B-43B1-9A87-D0544A5C2647}">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Je nach Bundesland unterschiedlich</t>
        </r>
      </text>
    </comment>
    <comment ref="E21" authorId="2" shapeId="0" xr:uid="{9CFFD80C-DC3F-4470-9654-3B867FB23393}">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Grunderwerbsteuer</t>
        </r>
      </text>
    </comment>
    <comment ref="H21" authorId="3" shapeId="0" xr:uid="{FA9D0175-14CE-6B41-B053-C330F354F19B}">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ohne Makler bei 0%</t>
        </r>
      </text>
    </comment>
    <comment ref="E25" authorId="4" shapeId="0" xr:uid="{9349FB8C-4D1D-4D2F-9138-6B404438E47D}">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Betrachtungsweise des Finanzamtes:
Ein Erbbaurecht ist wie ein Kauf mit (teilw.) gestundetem Kaufpreis -&gt; daher sind diese Werte zu versteuern (Zeile 34)</t>
        </r>
      </text>
    </comment>
    <comment ref="C42" authorId="5" shapeId="0" xr:uid="{C3388F65-B109-4F15-B596-0981FAC952C8}">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
        </r>
      </text>
    </comment>
    <comment ref="C48" authorId="6" shapeId="0" xr:uid="{DA08C30E-E82E-4166-BB01-1DC8F7B2BE10}">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Banken fordern idR ~20% EK(-Ersatz)</t>
        </r>
      </text>
    </comment>
    <comment ref="H51" authorId="7" shapeId="0" xr:uid="{4AB834DE-9DAB-43B8-AFF6-026168F9D04D}">
      <text>
        <r>
          <rPr>
            <sz val="10"/>
            <color indexed="81"/>
            <rFont val="Verdana"/>
            <family val="2"/>
          </rPr>
          <t>Zinssteigerung auf 4 bis 5 % sollte als realistischens Szenario durchdacht werden.</t>
        </r>
      </text>
    </comment>
    <comment ref="B52" authorId="8" shapeId="0" xr:uid="{CD045FDE-F529-473B-AAEC-E3C43EB2ABA3}">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Den Rest der Gesamtkosten wird man über irgendeinen Kredit finanzieren - die jährliche Belastung hieraus (Zins+Tilgung) ist bei fast allen Krediten aktuell ~4%, daher hier erstmal stark vereinfacht.</t>
        </r>
      </text>
    </comment>
    <comment ref="B61" authorId="9" shapeId="0" xr:uid="{DD378467-319D-4F27-BE7E-787CB5541813}">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9,- € zu optimistisch</t>
        </r>
      </text>
    </comment>
    <comment ref="D64" authorId="10" shapeId="0" xr:uid="{394C7846-1883-47EA-90E4-254CFFAC2E81}">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Vonseiten vielen Banken werden hier einfach immer 25% angesetzt. Weniger als 15% der Kaltmiete sollte hier aber auf gar keinen Fall herauskommen.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tc={1BC8F620-9E9E-471C-A5DF-70284F7152E0}</author>
    <author>tc={9E8430E7-C761-4033-8E10-205982F80255}</author>
    <author>tc={02348CC4-13CD-4D40-BEF6-5766B09C2061}</author>
    <author>tc={63005EB1-6CC3-41E4-AD5D-3D96B5F1C79C}</author>
    <author>tc={C684FB16-EBCE-47EA-B0A9-089C4D4D0215}</author>
    <author>tc={96C67687-4C52-4014-A1DF-A4A0EAA5D91A}</author>
    <author>Rolf Novy-Huy</author>
    <author>tc={66005FFF-F112-43E1-81B5-1DAB91A6B634}</author>
    <author>tc={771BD0F8-81B9-4EA5-B86C-E6F6B092FF0E}</author>
    <author>tc={C8A0158D-7695-4EC6-AA59-2F4777BA9298}</author>
    <author>tc={E2F10121-933C-4F94-93D9-F431ADC82CFB}</author>
  </authors>
  <commentList>
    <comment ref="C10" authorId="0" shapeId="0" xr:uid="{1BC8F620-9E9E-471C-A5DF-70284F7152E0}">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**kalt**</t>
        </r>
      </text>
    </comment>
    <comment ref="D21" authorId="1" shapeId="0" xr:uid="{9E8430E7-C761-4033-8E10-205982F80255}">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Je nach Bundesland unterschiedlich</t>
        </r>
      </text>
    </comment>
    <comment ref="E21" authorId="2" shapeId="0" xr:uid="{02348CC4-13CD-4D40-BEF6-5766B09C2061}">
      <text>
        <r>
          <rPr>
            <sz val="12"/>
            <color rgb="FF000000"/>
            <rFont val="Arial"/>
            <family val="2"/>
          </rPr>
          <t xml:space="preserve">[Kommentarthread]
</t>
        </r>
        <r>
          <rPr>
            <sz val="12"/>
            <color rgb="FF000000"/>
            <rFont val="Arial"/>
            <family val="2"/>
          </rPr>
          <t xml:space="preserve">
</t>
        </r>
        <r>
          <rPr>
            <sz val="12"/>
            <color rgb="FF000000"/>
            <rFont val="Arial"/>
            <family val="2"/>
          </rPr>
          <t xml:space="preserve">Ihre Version von Excel gestattet Ihnen das Lesen dieses Kommentarthreads. Jegliche Bearbeitungen daran werden jedoch entfernt, wenn die Datei in einer neueren Version von Excel geöffnet wird. Weitere Informationen: https://go.microsoft.com/fwlink/?linkid=870924.
</t>
        </r>
        <r>
          <rPr>
            <sz val="12"/>
            <color rgb="FF000000"/>
            <rFont val="Arial"/>
            <family val="2"/>
          </rPr>
          <t xml:space="preserve">
</t>
        </r>
        <r>
          <rPr>
            <sz val="12"/>
            <color rgb="FF000000"/>
            <rFont val="Arial"/>
            <family val="2"/>
          </rPr>
          <t xml:space="preserve">Kommentar:
</t>
        </r>
        <r>
          <rPr>
            <sz val="12"/>
            <color rgb="FF000000"/>
            <rFont val="Arial"/>
            <family val="2"/>
          </rPr>
          <t xml:space="preserve">    Grunderwerbsteuer</t>
        </r>
      </text>
    </comment>
    <comment ref="H21" authorId="3" shapeId="0" xr:uid="{63005EB1-6CC3-41E4-AD5D-3D96B5F1C79C}">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ohne Makler bei 0%</t>
        </r>
      </text>
    </comment>
    <comment ref="E25" authorId="4" shapeId="0" xr:uid="{C684FB16-EBCE-47EA-B0A9-089C4D4D0215}">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Betrachtungsweise des Finanzamtes:
Ein Erbbaurecht ist wie ein Kauf mit (teilw.) gestundetem Kaufpreis -&gt; daher sind diese Werte zu versteuern (Zeile 34)</t>
        </r>
      </text>
    </comment>
    <comment ref="C42" authorId="5" shapeId="0" xr:uid="{96C67687-4C52-4014-A1DF-A4A0EAA5D91A}">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
        </r>
      </text>
    </comment>
    <comment ref="I46" authorId="6" shapeId="0" xr:uid="{1BAAD6F8-2319-4ACE-ACFC-0C4FB349076C}">
      <text>
        <r>
          <rPr>
            <b/>
            <sz val="8"/>
            <color indexed="81"/>
            <rFont val="Tahoma"/>
            <family val="2"/>
          </rPr>
          <t>Rolf Novy-Huy:</t>
        </r>
        <r>
          <rPr>
            <sz val="8"/>
            <color indexed="81"/>
            <rFont val="Tahoma"/>
            <family val="2"/>
          </rPr>
          <t xml:space="preserve">
vom Institut mitteilen lassen, oder separat berechnen.</t>
        </r>
      </text>
    </comment>
    <comment ref="C48" authorId="7" shapeId="0" xr:uid="{66005FFF-F112-43E1-81B5-1DAB91A6B634}">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Banken fordern idR ~20% EK(-Ersatz)</t>
        </r>
      </text>
    </comment>
    <comment ref="H51" authorId="6" shapeId="0" xr:uid="{E79906E4-16EC-46E8-A72A-A65610C2AA5E}">
      <text>
        <r>
          <rPr>
            <sz val="10"/>
            <color indexed="81"/>
            <rFont val="Verdana"/>
            <family val="2"/>
          </rPr>
          <t>Zinssteigerung auf 4 bis 5 % sollte als realistischens Szenario durchdacht werden.</t>
        </r>
      </text>
    </comment>
    <comment ref="B52" authorId="8" shapeId="0" xr:uid="{771BD0F8-81B9-4EA5-B86C-E6F6B092FF0E}">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Den Rest der Gesamtkosten wird man über irgendeinen Kredit finanzieren - die jährliche Belastung hieraus (Zins+Tilgung) ist bei fast allen Krediten aktuell ~4%, daher hier erstmal stark vereinfacht.</t>
        </r>
      </text>
    </comment>
    <comment ref="B61" authorId="9" shapeId="0" xr:uid="{C8A0158D-7695-4EC6-AA59-2F4777BA9298}">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9,- € zu optimistisch</t>
        </r>
      </text>
    </comment>
    <comment ref="D64" authorId="10" shapeId="0" xr:uid="{E2F10121-933C-4F94-93D9-F431ADC82CFB}">
      <text>
        <r>
          <rPr>
            <sz val="12"/>
            <rFont val="Arial"/>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Vonseiten vielen Banken werden hier einfach immer 25% angesetzt. Weniger als 15% der Kaltmiete sollte hier aber auf gar keinen Fall herauskommen.</t>
        </r>
      </text>
    </comment>
  </commentList>
</comments>
</file>

<file path=xl/sharedStrings.xml><?xml version="1.0" encoding="utf-8"?>
<sst xmlns="http://schemas.openxmlformats.org/spreadsheetml/2006/main" count="484" uniqueCount="120">
  <si>
    <t>Objektfinanzierungsplan</t>
  </si>
  <si>
    <t>Objektadresse:</t>
  </si>
  <si>
    <t>Projekt</t>
  </si>
  <si>
    <t>Wohnraumschiff (convex us eG)</t>
  </si>
  <si>
    <t>Berechnungsvarianten</t>
  </si>
  <si>
    <t>#1</t>
  </si>
  <si>
    <t>Gebot</t>
  </si>
  <si>
    <t>Objektdaten:</t>
  </si>
  <si>
    <t>Fläche / Anzahl</t>
  </si>
  <si>
    <t>Preis/qm</t>
  </si>
  <si>
    <t>Bodenwert</t>
  </si>
  <si>
    <t>Stiftung trias, Hattingen</t>
  </si>
  <si>
    <t>Grundstück in qm</t>
  </si>
  <si>
    <t>→</t>
  </si>
  <si>
    <t>Anzahl Wohnungen:</t>
  </si>
  <si>
    <t>€</t>
  </si>
  <si>
    <t>Anzahl Gewerbeeinheiten:</t>
  </si>
  <si>
    <t>Miete p.a</t>
  </si>
  <si>
    <t>Fläche aller Wohnungen</t>
  </si>
  <si>
    <t>x 12 ==&gt;</t>
  </si>
  <si>
    <t>Gewerbe</t>
  </si>
  <si>
    <t>Sozialwohnungen</t>
  </si>
  <si>
    <t>Ateliers</t>
  </si>
  <si>
    <t>Projekträume</t>
  </si>
  <si>
    <t>Gemeinschaftsflächen</t>
  </si>
  <si>
    <t>Gesamt</t>
  </si>
  <si>
    <t>Kostenplan trias</t>
  </si>
  <si>
    <t>%</t>
  </si>
  <si>
    <t>Grundstückskaufpreis</t>
  </si>
  <si>
    <t>falls Grdst. + Gebäude nur zusammen gekauft werden können, beides einsetzen!</t>
  </si>
  <si>
    <t>Kauf-Nebenk. - Grundstück</t>
  </si>
  <si>
    <t>GrESt</t>
  </si>
  <si>
    <t>Notar/Gerichtsk.</t>
  </si>
  <si>
    <t>Maklerprovision</t>
  </si>
  <si>
    <t>Gesamtkaufpreis</t>
  </si>
  <si>
    <t>Anteil Stiftung trias</t>
  </si>
  <si>
    <t>Erbbauzins Projekt &lt;&gt; trias</t>
  </si>
  <si>
    <t>Zeitraum</t>
  </si>
  <si>
    <r>
      <rPr>
        <b/>
        <sz val="11"/>
        <rFont val="Segoe UI"/>
        <family val="2"/>
      </rPr>
      <t>≈</t>
    </r>
    <r>
      <rPr>
        <b/>
        <sz val="11"/>
        <rFont val="Verdana"/>
        <family val="2"/>
      </rPr>
      <t xml:space="preserve"> in € p.a.</t>
    </r>
  </si>
  <si>
    <t>Kaufpreis-Adäquat</t>
  </si>
  <si>
    <t xml:space="preserve"> (gem. Finanzamt)</t>
  </si>
  <si>
    <t>Umbauphase</t>
  </si>
  <si>
    <t>Bezug, Feinausbau, Strukturbildung</t>
  </si>
  <si>
    <t>Wohnphase 1</t>
  </si>
  <si>
    <t>Ø - ErbbauZ</t>
  </si>
  <si>
    <t>Wohnphase 2</t>
  </si>
  <si>
    <t>Nächste Generation</t>
  </si>
  <si>
    <t>∞</t>
  </si>
  <si>
    <t>Kostenplan Projekt</t>
  </si>
  <si>
    <t>Einmalzahlung Gebäude</t>
  </si>
  <si>
    <t>sofern eine solche anfällt.</t>
  </si>
  <si>
    <t>Kauf-Nebenk. - Erbbaurecht</t>
  </si>
  <si>
    <t>GrESt*</t>
  </si>
  <si>
    <t>Baukosten</t>
  </si>
  <si>
    <t>Neubaukosten bzw. Renovierungsgkosten gemäß separater Aufstellung des/der Architekten/in</t>
  </si>
  <si>
    <t>Zinsen während der Bauzeit</t>
  </si>
  <si>
    <t>siehe Zeile 71</t>
  </si>
  <si>
    <t>Sonstiges/Rundung</t>
  </si>
  <si>
    <t>Reserve für Baukostensteigerung o.Ä. ggf. manuell einsetzen</t>
  </si>
  <si>
    <t>Gesamtkosten:</t>
  </si>
  <si>
    <t>Finanzierung Stiftung trias</t>
  </si>
  <si>
    <t>Kommentar</t>
  </si>
  <si>
    <r>
      <t xml:space="preserve">Zustiftung </t>
    </r>
    <r>
      <rPr>
        <b/>
        <sz val="11"/>
        <rFont val="Verdana"/>
        <family val="2"/>
      </rPr>
      <t>seitens Projekt</t>
    </r>
  </si>
  <si>
    <t>Sondervermögen f. München + Umg.</t>
  </si>
  <si>
    <t>sonstige Mittel der Stiftung + Partner</t>
  </si>
  <si>
    <t>Summe</t>
  </si>
  <si>
    <t>Finanzierung Projekt</t>
  </si>
  <si>
    <t>Zins p.a.</t>
  </si>
  <si>
    <t>Tilgung</t>
  </si>
  <si>
    <t>Zins fest für</t>
  </si>
  <si>
    <t>Kapitaldienst p.a.</t>
  </si>
  <si>
    <t>Saldo nach dieser Phase</t>
  </si>
  <si>
    <t>eG Anteile</t>
  </si>
  <si>
    <t>Private Darlehen</t>
  </si>
  <si>
    <t>Die Bank setzt 2 % Zins, 2% Tilgung als Minimum an!</t>
  </si>
  <si>
    <t>Öffentliche Mittel:</t>
  </si>
  <si>
    <t>GLS Bürgschaftsdarlehen</t>
  </si>
  <si>
    <t>GLS Grundschulddarlehen</t>
  </si>
  <si>
    <t>37 J.</t>
  </si>
  <si>
    <t xml:space="preserve">KfW-CO²-Einsparung u. ä. </t>
  </si>
  <si>
    <t>kalkulatorisch, ggf nicht akutell!</t>
  </si>
  <si>
    <t>Sonstige Mittel:</t>
  </si>
  <si>
    <t>Gesamtfinanzierung</t>
  </si>
  <si>
    <t>Konkret angesetzt</t>
  </si>
  <si>
    <t>Einnahmen / Ausgaben</t>
  </si>
  <si>
    <t>Miete gesamt</t>
  </si>
  <si>
    <t>Sonstige Einnahmen</t>
  </si>
  <si>
    <t>Erbbauzins</t>
  </si>
  <si>
    <t>Instandhaltung</t>
  </si>
  <si>
    <t>Verwaltungskosten</t>
  </si>
  <si>
    <t>0,25 Büro-Stellen</t>
  </si>
  <si>
    <t>+ 5 € / qm NWF p.a. Dach-eG-Abgabe</t>
  </si>
  <si>
    <t>+ 2500,- Büro-Bedarf, Marketing usw.</t>
  </si>
  <si>
    <t>Mietausfall</t>
  </si>
  <si>
    <t>Kapitaldienst gem. Fin.plan</t>
  </si>
  <si>
    <t>% (der Kaltmiete)</t>
  </si>
  <si>
    <t>Instandhaltungs- und Verwaltungsquote</t>
  </si>
  <si>
    <t>Betriebskst. während der Bauzeit</t>
  </si>
  <si>
    <t>3 Jahre</t>
  </si>
  <si>
    <t>Erbbauzins + Verwaltungskosten</t>
  </si>
  <si>
    <r>
      <t>Zinslast der Bank</t>
    </r>
    <r>
      <rPr>
        <sz val="8"/>
        <rFont val="Verdana"/>
        <family val="2"/>
      </rPr>
      <t xml:space="preserve"> (hälftig, da nach Abruf)</t>
    </r>
  </si>
  <si>
    <t>Ungefähr einzuplanen</t>
  </si>
  <si>
    <t>Bodenwert im Egtm. der Stiftung</t>
  </si>
  <si>
    <r>
      <t xml:space="preserve">Reserve für Baukostensteigerung, Rundung etc. </t>
    </r>
    <r>
      <rPr>
        <b/>
        <sz val="11"/>
        <rFont val="Verdana"/>
        <family val="2"/>
      </rPr>
      <t>manuell einsetzen</t>
    </r>
  </si>
  <si>
    <t>Lfz.</t>
  </si>
  <si>
    <t>2500,00 €/m²</t>
  </si>
  <si>
    <t>€/m²/Mt.</t>
  </si>
  <si>
    <t>Verwaltung &amp; Betrieb</t>
  </si>
  <si>
    <t>1/4 Büro-Stelle (5265€) +5 €/qm NWF p.a. Dach-eG-Abgabe (2270€) + 2500,- Büro-Bedarf, Marketing usw.</t>
  </si>
  <si>
    <t>(der Kaltmiete)</t>
  </si>
  <si>
    <t>Sonstige Belastungen</t>
  </si>
  <si>
    <t>Erforderliche Miete</t>
  </si>
  <si>
    <t>Darlehensnehmer:</t>
  </si>
  <si>
    <t>- getilgtes</t>
  </si>
  <si>
    <t>Vergleichsmiete 2022 (atlas.immo…..)</t>
  </si>
  <si>
    <t>+ 20 Jahre Inflation von 2%</t>
  </si>
  <si>
    <t>Vergleichsmiete durch Inflation          (Vorsicht, restliche Tabelle nicht indexiert)</t>
  </si>
  <si>
    <t>München, Torbogenhaus</t>
  </si>
  <si>
    <t>Abgabe eG</t>
  </si>
  <si>
    <t>Verwaltung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</si>
</sst>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5" formatCode="#,##0\ &quot;€&quot;;\-#,##0\ &quot;€&quot;"/>
    <numFmt numFmtId="44" formatCode="_-* #,##0.00\ &quot;€&quot;_-;\-* #,##0.00\ &quot;€&quot;_-;_-* &quot;-&quot;??\ &quot;€&quot;_-;_-@_-"/>
    <numFmt numFmtId="43" formatCode="_-* #,##0.00_-;\-* #,##0.00_-;_-* &quot;-&quot;??_-;_-@_-"/>
    <numFmt numFmtId="164" formatCode="s\t\a\nd\a\rd"/>
    <numFmt numFmtId="165" formatCode="s&quot;tan&quot;d&quot;ar&quot;d"/>
    <numFmt numFmtId="166" formatCode="0\ &quot;Jahre&quot;"/>
    <numFmt numFmtId="167" formatCode="_-* #,##0\ &quot;€&quot;_-;\-* #,##0\ &quot;€&quot;_-;_-* &quot;-&quot;??\ &quot;€&quot;_-;_-@_-"/>
    <numFmt numFmtId="168" formatCode="0\ &quot;m²&quot;"/>
    <numFmt numFmtId="169" formatCode="0.00\ &quot;€/m²&quot;"/>
    <numFmt numFmtId="170" formatCode="0\ &quot;€ p.a.&quot;"/>
    <numFmt numFmtId="171" formatCode="#,##0\ &quot;€ p.a.&quot;;[Red]\-#,##0\ &quot;€ p.a.&quot;"/>
    <numFmt numFmtId="172" formatCode="#,##0\ &quot;€ p.m.&quot;;[Red]\-#,##0\ &quot;€ p.m.&quot;"/>
    <numFmt numFmtId="173" formatCode="0.00%\ &quot;p.a.&quot;"/>
    <numFmt numFmtId="174" formatCode="0%\ &quot;(EK-Quote)&quot;"/>
    <numFmt numFmtId="175" formatCode="_-* #,##0_-;\-* #,##0_-;_-* &quot;-&quot;??_-;_-@_-"/>
    <numFmt numFmtId="176" formatCode="&quot;( =&quot;_-* #,##0.00\ &quot;€/m²)&quot;;\-* #,##0.00\ &quot;€&quot;_-;_-* &quot;-&quot;??\ &quot;€/m²)&quot;;_-@_-"/>
  </numFmts>
  <fonts count="29" x14ac:knownFonts="1">
    <font>
      <sz val="12"/>
      <name val="Arial"/>
    </font>
    <font>
      <sz val="12"/>
      <name val="Arial"/>
      <family val="2"/>
    </font>
    <font>
      <sz val="8"/>
      <color indexed="81"/>
      <name val="Tahoma"/>
      <family val="2"/>
    </font>
    <font>
      <b/>
      <sz val="8"/>
      <color indexed="81"/>
      <name val="Tahoma"/>
      <family val="2"/>
    </font>
    <font>
      <sz val="10"/>
      <color indexed="81"/>
      <name val="Verdana"/>
      <family val="2"/>
    </font>
    <font>
      <sz val="12"/>
      <name val="Arial"/>
      <family val="2"/>
    </font>
    <font>
      <b/>
      <sz val="11"/>
      <name val="Verdana"/>
      <family val="2"/>
    </font>
    <font>
      <sz val="11"/>
      <color indexed="9"/>
      <name val="Verdana"/>
      <family val="2"/>
    </font>
    <font>
      <sz val="11"/>
      <name val="Verdana"/>
      <family val="2"/>
    </font>
    <font>
      <b/>
      <sz val="11"/>
      <color rgb="FFC00000"/>
      <name val="Verdana"/>
      <family val="2"/>
    </font>
    <font>
      <sz val="11"/>
      <color rgb="FFC00000"/>
      <name val="Verdana"/>
      <family val="2"/>
    </font>
    <font>
      <sz val="11"/>
      <color theme="9"/>
      <name val="Verdana"/>
      <family val="2"/>
    </font>
    <font>
      <sz val="11"/>
      <color theme="1"/>
      <name val="Verdana"/>
      <family val="2"/>
    </font>
    <font>
      <i/>
      <sz val="11"/>
      <name val="Verdana"/>
      <family val="2"/>
    </font>
    <font>
      <sz val="11"/>
      <color rgb="FFFF0000"/>
      <name val="Verdana"/>
      <family val="2"/>
    </font>
    <font>
      <sz val="11"/>
      <color theme="0" tint="-0.14999847407452621"/>
      <name val="Verdana"/>
      <family val="2"/>
    </font>
    <font>
      <sz val="8"/>
      <name val="Verdana"/>
      <family val="2"/>
    </font>
    <font>
      <b/>
      <i/>
      <sz val="10"/>
      <name val="Verdana"/>
      <family val="2"/>
    </font>
    <font>
      <b/>
      <i/>
      <sz val="8"/>
      <name val="Verdana"/>
      <family val="2"/>
    </font>
    <font>
      <b/>
      <sz val="10"/>
      <name val="Verdana"/>
      <family val="2"/>
    </font>
    <font>
      <sz val="10"/>
      <name val="Verdana"/>
      <family val="2"/>
    </font>
    <font>
      <b/>
      <sz val="8"/>
      <color rgb="FF92D050"/>
      <name val="Verdana"/>
      <family val="2"/>
    </font>
    <font>
      <sz val="8"/>
      <color rgb="FF92D050"/>
      <name val="Verdana"/>
      <family val="2"/>
    </font>
    <font>
      <b/>
      <sz val="10"/>
      <color rgb="FFC00000"/>
      <name val="Verdana"/>
      <family val="2"/>
    </font>
    <font>
      <b/>
      <sz val="11"/>
      <name val="Segoe UI"/>
      <family val="2"/>
    </font>
    <font>
      <sz val="11"/>
      <color rgb="FFD0CECE"/>
      <name val="Calibri"/>
      <family val="2"/>
      <charset val="1"/>
    </font>
    <font>
      <sz val="9"/>
      <name val="Verdana"/>
      <family val="2"/>
    </font>
    <font>
      <i/>
      <sz val="8"/>
      <name val="Verdana"/>
      <family val="2"/>
    </font>
    <font>
      <sz val="12"/>
      <color rgb="FF000000"/>
      <name val="Arial"/>
      <family val="2"/>
    </font>
  </fonts>
  <fills count="11">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FFFF00"/>
        <bgColor indexed="64"/>
      </patternFill>
    </fill>
  </fills>
  <borders count="40">
    <border>
      <left/>
      <right/>
      <top/>
      <bottom/>
      <diagonal/>
    </border>
    <border>
      <left/>
      <right/>
      <top style="thin">
        <color indexed="8"/>
      </top>
      <bottom/>
      <diagonal/>
    </border>
    <border>
      <left style="medium">
        <color indexed="8"/>
      </left>
      <right/>
      <top style="medium">
        <color indexed="8"/>
      </top>
      <bottom/>
      <diagonal/>
    </border>
    <border>
      <left style="medium">
        <color indexed="8"/>
      </left>
      <right/>
      <top/>
      <bottom/>
      <diagonal/>
    </border>
    <border>
      <left/>
      <right/>
      <top style="medium">
        <color indexed="8"/>
      </top>
      <bottom/>
      <diagonal/>
    </border>
    <border>
      <left style="thin">
        <color indexed="8"/>
      </left>
      <right/>
      <top style="thin">
        <color indexed="8"/>
      </top>
      <bottom/>
      <diagonal/>
    </border>
    <border>
      <left style="thin">
        <color indexed="8"/>
      </left>
      <right/>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diagonal/>
    </border>
    <border>
      <left style="medium">
        <color indexed="64"/>
      </left>
      <right style="medium">
        <color indexed="64"/>
      </right>
      <top style="medium">
        <color indexed="64"/>
      </top>
      <bottom/>
      <diagonal/>
    </border>
    <border>
      <left style="medium">
        <color indexed="8"/>
      </left>
      <right style="medium">
        <color indexed="8"/>
      </right>
      <top/>
      <bottom style="medium">
        <color indexed="8"/>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8"/>
      </right>
      <top/>
      <bottom style="thin">
        <color indexed="8"/>
      </bottom>
      <diagonal/>
    </border>
    <border>
      <left/>
      <right style="medium">
        <color indexed="8"/>
      </right>
      <top style="medium">
        <color indexed="8"/>
      </top>
      <bottom/>
      <diagonal/>
    </border>
    <border>
      <left/>
      <right style="medium">
        <color indexed="8"/>
      </right>
      <top style="medium">
        <color indexed="8"/>
      </top>
      <bottom style="medium">
        <color indexed="8"/>
      </bottom>
      <diagonal/>
    </border>
    <border>
      <left style="thin">
        <color indexed="64"/>
      </left>
      <right style="thin">
        <color indexed="64"/>
      </right>
      <top/>
      <bottom style="thin">
        <color indexed="64"/>
      </bottom>
      <diagonal/>
    </border>
    <border>
      <left/>
      <right style="thin">
        <color indexed="8"/>
      </right>
      <top/>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8"/>
      </top>
      <bottom style="medium">
        <color indexed="8"/>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right/>
      <top/>
      <bottom style="thin">
        <color indexed="64"/>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cellStyleXfs>
  <cellXfs count="217">
    <xf numFmtId="0" fontId="0" fillId="0" borderId="0" xfId="0"/>
    <xf numFmtId="164" fontId="6" fillId="2" borderId="0" xfId="0" applyNumberFormat="1" applyFont="1" applyFill="1"/>
    <xf numFmtId="164" fontId="7" fillId="2" borderId="0" xfId="0" applyNumberFormat="1" applyFont="1" applyFill="1"/>
    <xf numFmtId="164" fontId="7" fillId="0" borderId="0" xfId="0" applyNumberFormat="1" applyFont="1"/>
    <xf numFmtId="164" fontId="8" fillId="0" borderId="0" xfId="0" applyNumberFormat="1" applyFont="1"/>
    <xf numFmtId="164" fontId="6" fillId="0" borderId="0" xfId="0" applyNumberFormat="1" applyFont="1"/>
    <xf numFmtId="164" fontId="8" fillId="8" borderId="0" xfId="0" applyNumberFormat="1" applyFont="1" applyFill="1"/>
    <xf numFmtId="164" fontId="8" fillId="0" borderId="1" xfId="0" applyNumberFormat="1" applyFont="1" applyBorder="1"/>
    <xf numFmtId="164" fontId="6" fillId="0" borderId="2" xfId="0" applyNumberFormat="1" applyFont="1" applyBorder="1"/>
    <xf numFmtId="164" fontId="6" fillId="0" borderId="19" xfId="0" applyNumberFormat="1" applyFont="1" applyBorder="1" applyAlignment="1">
      <alignment horizontal="center"/>
    </xf>
    <xf numFmtId="164" fontId="6" fillId="3" borderId="28" xfId="0" applyNumberFormat="1" applyFont="1" applyFill="1" applyBorder="1" applyAlignment="1">
      <alignment horizontal="center"/>
    </xf>
    <xf numFmtId="164" fontId="8" fillId="0" borderId="3" xfId="0" applyNumberFormat="1" applyFont="1" applyBorder="1"/>
    <xf numFmtId="164" fontId="9" fillId="7" borderId="17" xfId="0" applyNumberFormat="1" applyFont="1" applyFill="1" applyBorder="1" applyAlignment="1">
      <alignment horizontal="center"/>
    </xf>
    <xf numFmtId="164" fontId="9" fillId="7" borderId="23" xfId="0" applyNumberFormat="1" applyFont="1" applyFill="1" applyBorder="1"/>
    <xf numFmtId="164" fontId="8" fillId="7" borderId="24" xfId="0" applyNumberFormat="1" applyFont="1" applyFill="1" applyBorder="1"/>
    <xf numFmtId="164" fontId="8" fillId="0" borderId="4" xfId="0" applyNumberFormat="1" applyFont="1" applyBorder="1"/>
    <xf numFmtId="4" fontId="8" fillId="0" borderId="1" xfId="0" quotePrefix="1" applyNumberFormat="1" applyFont="1" applyBorder="1" applyAlignment="1">
      <alignment horizontal="center"/>
    </xf>
    <xf numFmtId="4" fontId="10" fillId="7" borderId="22" xfId="0" applyNumberFormat="1" applyFont="1" applyFill="1" applyBorder="1" applyAlignment="1">
      <alignment horizontal="right"/>
    </xf>
    <xf numFmtId="1" fontId="11" fillId="0" borderId="5" xfId="0" applyNumberFormat="1" applyFont="1" applyBorder="1" applyAlignment="1">
      <alignment horizontal="center"/>
    </xf>
    <xf numFmtId="4" fontId="8" fillId="0" borderId="9" xfId="0" applyNumberFormat="1" applyFont="1" applyBorder="1" applyAlignment="1">
      <alignment horizontal="right"/>
    </xf>
    <xf numFmtId="164" fontId="8" fillId="0" borderId="6" xfId="0" applyNumberFormat="1" applyFont="1" applyBorder="1"/>
    <xf numFmtId="164" fontId="8" fillId="0" borderId="0" xfId="0" applyNumberFormat="1" applyFont="1" applyAlignment="1">
      <alignment horizontal="center"/>
    </xf>
    <xf numFmtId="4" fontId="8" fillId="0" borderId="5" xfId="0" applyNumberFormat="1" applyFont="1" applyBorder="1" applyAlignment="1">
      <alignment horizontal="right"/>
    </xf>
    <xf numFmtId="164" fontId="8" fillId="0" borderId="5" xfId="0" applyNumberFormat="1" applyFont="1" applyBorder="1"/>
    <xf numFmtId="164" fontId="8" fillId="0" borderId="2" xfId="0" applyNumberFormat="1" applyFont="1" applyBorder="1"/>
    <xf numFmtId="165" fontId="12" fillId="0" borderId="20" xfId="0" applyNumberFormat="1" applyFont="1" applyBorder="1"/>
    <xf numFmtId="164" fontId="6" fillId="0" borderId="11" xfId="0" applyNumberFormat="1" applyFont="1" applyBorder="1"/>
    <xf numFmtId="164" fontId="8" fillId="0" borderId="12" xfId="0" applyNumberFormat="1" applyFont="1" applyBorder="1"/>
    <xf numFmtId="164" fontId="6" fillId="7" borderId="19" xfId="0" applyNumberFormat="1" applyFont="1" applyFill="1" applyBorder="1"/>
    <xf numFmtId="164" fontId="6" fillId="7" borderId="19" xfId="0" applyNumberFormat="1" applyFont="1" applyFill="1" applyBorder="1" applyAlignment="1">
      <alignment horizontal="center"/>
    </xf>
    <xf numFmtId="164" fontId="8" fillId="7" borderId="0" xfId="0" applyNumberFormat="1" applyFont="1" applyFill="1"/>
    <xf numFmtId="4" fontId="10" fillId="7" borderId="29" xfId="0" applyNumberFormat="1" applyFont="1" applyFill="1" applyBorder="1" applyAlignment="1">
      <alignment horizontal="right"/>
    </xf>
    <xf numFmtId="164" fontId="8" fillId="6" borderId="0" xfId="0" applyNumberFormat="1" applyFont="1" applyFill="1"/>
    <xf numFmtId="164" fontId="10" fillId="7" borderId="0" xfId="0" applyNumberFormat="1" applyFont="1" applyFill="1"/>
    <xf numFmtId="9" fontId="8" fillId="3" borderId="22" xfId="1" applyFont="1" applyFill="1" applyBorder="1" applyAlignment="1"/>
    <xf numFmtId="10" fontId="10" fillId="7" borderId="25" xfId="0" applyNumberFormat="1" applyFont="1" applyFill="1" applyBorder="1"/>
    <xf numFmtId="10" fontId="10" fillId="7" borderId="19" xfId="0" applyNumberFormat="1" applyFont="1" applyFill="1" applyBorder="1"/>
    <xf numFmtId="10" fontId="8" fillId="7" borderId="0" xfId="0" applyNumberFormat="1" applyFont="1" applyFill="1"/>
    <xf numFmtId="4" fontId="9" fillId="7" borderId="22" xfId="0" applyNumberFormat="1" applyFont="1" applyFill="1" applyBorder="1" applyAlignment="1">
      <alignment horizontal="right"/>
    </xf>
    <xf numFmtId="10" fontId="10" fillId="6" borderId="24" xfId="0" applyNumberFormat="1" applyFont="1" applyFill="1" applyBorder="1"/>
    <xf numFmtId="164" fontId="10" fillId="7" borderId="0" xfId="0" quotePrefix="1" applyNumberFormat="1" applyFont="1" applyFill="1" applyAlignment="1">
      <alignment horizontal="center"/>
    </xf>
    <xf numFmtId="164" fontId="8" fillId="4" borderId="0" xfId="0" applyNumberFormat="1" applyFont="1" applyFill="1"/>
    <xf numFmtId="4" fontId="9" fillId="4" borderId="0" xfId="0" applyNumberFormat="1" applyFont="1" applyFill="1" applyAlignment="1">
      <alignment horizontal="right"/>
    </xf>
    <xf numFmtId="10" fontId="10" fillId="4" borderId="0" xfId="0" applyNumberFormat="1" applyFont="1" applyFill="1"/>
    <xf numFmtId="164" fontId="10" fillId="4" borderId="0" xfId="0" quotePrefix="1" applyNumberFormat="1" applyFont="1" applyFill="1" applyAlignment="1">
      <alignment horizontal="center"/>
    </xf>
    <xf numFmtId="4" fontId="10" fillId="4" borderId="0" xfId="0" applyNumberFormat="1" applyFont="1" applyFill="1" applyAlignment="1">
      <alignment horizontal="right"/>
    </xf>
    <xf numFmtId="10" fontId="8" fillId="4" borderId="0" xfId="0" applyNumberFormat="1" applyFont="1" applyFill="1"/>
    <xf numFmtId="164" fontId="6" fillId="8" borderId="19" xfId="0" applyNumberFormat="1" applyFont="1" applyFill="1" applyBorder="1"/>
    <xf numFmtId="10" fontId="8" fillId="8" borderId="0" xfId="0" applyNumberFormat="1" applyFont="1" applyFill="1"/>
    <xf numFmtId="4" fontId="8" fillId="8" borderId="22" xfId="0" applyNumberFormat="1" applyFont="1" applyFill="1" applyBorder="1" applyAlignment="1">
      <alignment horizontal="right"/>
    </xf>
    <xf numFmtId="9" fontId="8" fillId="6" borderId="24" xfId="1" applyFont="1" applyFill="1" applyBorder="1" applyAlignment="1"/>
    <xf numFmtId="10" fontId="8" fillId="6" borderId="24" xfId="1" applyNumberFormat="1" applyFont="1" applyFill="1" applyBorder="1" applyAlignment="1"/>
    <xf numFmtId="10" fontId="8" fillId="8" borderId="25" xfId="0" applyNumberFormat="1" applyFont="1" applyFill="1" applyBorder="1"/>
    <xf numFmtId="10" fontId="8" fillId="8" borderId="19" xfId="0" applyNumberFormat="1" applyFont="1" applyFill="1" applyBorder="1"/>
    <xf numFmtId="4" fontId="8" fillId="6" borderId="24" xfId="0" applyNumberFormat="1" applyFont="1" applyFill="1" applyBorder="1"/>
    <xf numFmtId="9" fontId="8" fillId="6" borderId="26" xfId="1" applyFont="1" applyFill="1" applyBorder="1" applyAlignment="1">
      <alignment horizontal="right"/>
    </xf>
    <xf numFmtId="164" fontId="6" fillId="8" borderId="2" xfId="0" applyNumberFormat="1" applyFont="1" applyFill="1" applyBorder="1"/>
    <xf numFmtId="4" fontId="8" fillId="0" borderId="0" xfId="0" applyNumberFormat="1" applyFont="1"/>
    <xf numFmtId="164" fontId="8" fillId="7" borderId="29" xfId="0" applyNumberFormat="1" applyFont="1" applyFill="1" applyBorder="1"/>
    <xf numFmtId="4" fontId="8" fillId="0" borderId="6" xfId="0" applyNumberFormat="1" applyFont="1" applyBorder="1" applyAlignment="1">
      <alignment horizontal="right"/>
    </xf>
    <xf numFmtId="164" fontId="6" fillId="8" borderId="0" xfId="0" applyNumberFormat="1" applyFont="1" applyFill="1"/>
    <xf numFmtId="4" fontId="8" fillId="8" borderId="14" xfId="0" applyNumberFormat="1" applyFont="1" applyFill="1" applyBorder="1" applyAlignment="1">
      <alignment horizontal="right"/>
    </xf>
    <xf numFmtId="4" fontId="8" fillId="8" borderId="8" xfId="0" applyNumberFormat="1" applyFont="1" applyFill="1" applyBorder="1" applyAlignment="1">
      <alignment horizontal="right"/>
    </xf>
    <xf numFmtId="166" fontId="8" fillId="8" borderId="8" xfId="0" applyNumberFormat="1" applyFont="1" applyFill="1" applyBorder="1" applyAlignment="1">
      <alignment horizontal="right"/>
    </xf>
    <xf numFmtId="4" fontId="8" fillId="8" borderId="9" xfId="0" applyNumberFormat="1" applyFont="1" applyFill="1" applyBorder="1" applyAlignment="1">
      <alignment horizontal="right"/>
    </xf>
    <xf numFmtId="4" fontId="8" fillId="8" borderId="15" xfId="0" applyNumberFormat="1" applyFont="1" applyFill="1" applyBorder="1" applyAlignment="1">
      <alignment horizontal="right"/>
    </xf>
    <xf numFmtId="164" fontId="8" fillId="8" borderId="28" xfId="0" applyNumberFormat="1" applyFont="1" applyFill="1" applyBorder="1" applyAlignment="1">
      <alignment horizontal="center"/>
    </xf>
    <xf numFmtId="4" fontId="8" fillId="6" borderId="14" xfId="0" applyNumberFormat="1" applyFont="1" applyFill="1" applyBorder="1" applyAlignment="1">
      <alignment horizontal="right"/>
    </xf>
    <xf numFmtId="4" fontId="8" fillId="6" borderId="8" xfId="0" applyNumberFormat="1" applyFont="1" applyFill="1" applyBorder="1" applyAlignment="1">
      <alignment horizontal="right"/>
    </xf>
    <xf numFmtId="10" fontId="8" fillId="6" borderId="8" xfId="0" applyNumberFormat="1" applyFont="1" applyFill="1" applyBorder="1" applyAlignment="1">
      <alignment horizontal="right"/>
    </xf>
    <xf numFmtId="4" fontId="8" fillId="6" borderId="9" xfId="0" applyNumberFormat="1" applyFont="1" applyFill="1" applyBorder="1" applyAlignment="1">
      <alignment horizontal="right"/>
    </xf>
    <xf numFmtId="2" fontId="15" fillId="0" borderId="0" xfId="0" applyNumberFormat="1" applyFont="1"/>
    <xf numFmtId="44" fontId="8" fillId="8" borderId="5" xfId="2" applyFont="1" applyFill="1" applyBorder="1" applyAlignment="1">
      <alignment horizontal="right"/>
    </xf>
    <xf numFmtId="4" fontId="8" fillId="0" borderId="14" xfId="0" applyNumberFormat="1" applyFont="1" applyBorder="1" applyAlignment="1">
      <alignment horizontal="right"/>
    </xf>
    <xf numFmtId="4" fontId="8" fillId="0" borderId="30" xfId="0" applyNumberFormat="1" applyFont="1" applyBorder="1" applyAlignment="1">
      <alignment horizontal="right"/>
    </xf>
    <xf numFmtId="4" fontId="17" fillId="6" borderId="8" xfId="0" applyNumberFormat="1" applyFont="1" applyFill="1" applyBorder="1" applyAlignment="1">
      <alignment horizontal="right"/>
    </xf>
    <xf numFmtId="164" fontId="18" fillId="0" borderId="0" xfId="0" applyNumberFormat="1" applyFont="1"/>
    <xf numFmtId="4" fontId="8" fillId="8" borderId="6" xfId="0" applyNumberFormat="1" applyFont="1" applyFill="1" applyBorder="1" applyAlignment="1">
      <alignment horizontal="right"/>
    </xf>
    <xf numFmtId="164" fontId="8" fillId="5" borderId="27" xfId="0" applyNumberFormat="1" applyFont="1" applyFill="1" applyBorder="1"/>
    <xf numFmtId="164" fontId="8" fillId="5" borderId="16" xfId="0" applyNumberFormat="1" applyFont="1" applyFill="1" applyBorder="1"/>
    <xf numFmtId="164" fontId="8" fillId="5" borderId="2" xfId="0" applyNumberFormat="1" applyFont="1" applyFill="1" applyBorder="1"/>
    <xf numFmtId="166" fontId="8" fillId="8" borderId="14" xfId="0" applyNumberFormat="1" applyFont="1" applyFill="1" applyBorder="1" applyAlignment="1">
      <alignment horizontal="right"/>
    </xf>
    <xf numFmtId="44" fontId="8" fillId="8" borderId="6" xfId="2" applyFont="1" applyFill="1" applyBorder="1" applyAlignment="1">
      <alignment horizontal="right"/>
    </xf>
    <xf numFmtId="164" fontId="8" fillId="5" borderId="22" xfId="0" applyNumberFormat="1" applyFont="1" applyFill="1" applyBorder="1" applyAlignment="1">
      <alignment horizontal="center" wrapText="1"/>
    </xf>
    <xf numFmtId="44" fontId="8" fillId="5" borderId="22" xfId="2" applyFont="1" applyFill="1" applyBorder="1" applyAlignment="1"/>
    <xf numFmtId="164" fontId="8" fillId="6" borderId="0" xfId="0" quotePrefix="1" applyNumberFormat="1" applyFont="1" applyFill="1"/>
    <xf numFmtId="10" fontId="8" fillId="3" borderId="22" xfId="1" applyNumberFormat="1" applyFont="1" applyFill="1" applyBorder="1" applyAlignment="1"/>
    <xf numFmtId="4" fontId="8" fillId="3" borderId="27" xfId="0" applyNumberFormat="1" applyFont="1" applyFill="1" applyBorder="1" applyAlignment="1">
      <alignment horizontal="center"/>
    </xf>
    <xf numFmtId="164" fontId="8" fillId="6" borderId="22" xfId="0" applyNumberFormat="1" applyFont="1" applyFill="1" applyBorder="1"/>
    <xf numFmtId="4" fontId="8" fillId="6" borderId="28" xfId="0" applyNumberFormat="1" applyFont="1" applyFill="1" applyBorder="1" applyAlignment="1">
      <alignment horizontal="center"/>
    </xf>
    <xf numFmtId="164" fontId="6" fillId="8" borderId="19" xfId="0" applyNumberFormat="1" applyFont="1" applyFill="1" applyBorder="1" applyAlignment="1">
      <alignment horizontal="center"/>
    </xf>
    <xf numFmtId="164" fontId="8" fillId="0" borderId="32" xfId="0" applyNumberFormat="1" applyFont="1" applyBorder="1"/>
    <xf numFmtId="44" fontId="8" fillId="0" borderId="0" xfId="2" applyFont="1" applyAlignment="1">
      <alignment horizontal="center"/>
    </xf>
    <xf numFmtId="44" fontId="8" fillId="8" borderId="29" xfId="2" applyFont="1" applyFill="1" applyBorder="1" applyAlignment="1">
      <alignment horizontal="right"/>
    </xf>
    <xf numFmtId="164" fontId="20" fillId="9" borderId="22" xfId="0" applyNumberFormat="1" applyFont="1" applyFill="1" applyBorder="1"/>
    <xf numFmtId="168" fontId="12" fillId="0" borderId="21" xfId="0" applyNumberFormat="1" applyFont="1" applyBorder="1" applyAlignment="1" applyProtection="1">
      <alignment horizontal="center"/>
      <protection locked="0"/>
    </xf>
    <xf numFmtId="168" fontId="8" fillId="0" borderId="12" xfId="0" applyNumberFormat="1" applyFont="1" applyBorder="1" applyAlignment="1">
      <alignment horizontal="center"/>
    </xf>
    <xf numFmtId="169" fontId="8" fillId="0" borderId="10" xfId="0" applyNumberFormat="1" applyFont="1" applyBorder="1" applyAlignment="1">
      <alignment horizontal="center"/>
    </xf>
    <xf numFmtId="171" fontId="8" fillId="0" borderId="5" xfId="0" applyNumberFormat="1" applyFont="1" applyBorder="1"/>
    <xf numFmtId="171" fontId="8" fillId="0" borderId="7" xfId="0" applyNumberFormat="1" applyFont="1" applyBorder="1"/>
    <xf numFmtId="172" fontId="6" fillId="0" borderId="5" xfId="0" applyNumberFormat="1" applyFont="1" applyBorder="1"/>
    <xf numFmtId="172" fontId="8" fillId="0" borderId="13" xfId="0" applyNumberFormat="1" applyFont="1" applyBorder="1"/>
    <xf numFmtId="169" fontId="8" fillId="0" borderId="9" xfId="0" applyNumberFormat="1" applyFont="1" applyBorder="1" applyAlignment="1">
      <alignment horizontal="center"/>
    </xf>
    <xf numFmtId="167" fontId="10" fillId="7" borderId="22" xfId="2" applyNumberFormat="1" applyFont="1" applyFill="1" applyBorder="1" applyAlignment="1">
      <alignment horizontal="right"/>
    </xf>
    <xf numFmtId="168" fontId="8" fillId="0" borderId="6" xfId="0" applyNumberFormat="1" applyFont="1" applyBorder="1" applyAlignment="1">
      <alignment horizontal="center"/>
    </xf>
    <xf numFmtId="2" fontId="8" fillId="0" borderId="0" xfId="0" applyNumberFormat="1" applyFont="1"/>
    <xf numFmtId="164" fontId="6" fillId="8" borderId="28" xfId="0" applyNumberFormat="1" applyFont="1" applyFill="1" applyBorder="1" applyAlignment="1">
      <alignment horizontal="center"/>
    </xf>
    <xf numFmtId="10" fontId="8" fillId="6" borderId="14" xfId="1" applyNumberFormat="1" applyFont="1" applyFill="1" applyBorder="1" applyAlignment="1">
      <alignment horizontal="right"/>
    </xf>
    <xf numFmtId="169" fontId="6" fillId="8" borderId="28" xfId="0" applyNumberFormat="1" applyFont="1" applyFill="1" applyBorder="1"/>
    <xf numFmtId="167" fontId="8" fillId="8" borderId="6" xfId="2" applyNumberFormat="1" applyFont="1" applyFill="1" applyBorder="1" applyAlignment="1">
      <alignment horizontal="right"/>
    </xf>
    <xf numFmtId="167" fontId="8" fillId="8" borderId="8" xfId="2" applyNumberFormat="1" applyFont="1" applyFill="1" applyBorder="1" applyAlignment="1">
      <alignment horizontal="right"/>
    </xf>
    <xf numFmtId="167" fontId="8" fillId="8" borderId="29" xfId="2" applyNumberFormat="1" applyFont="1" applyFill="1" applyBorder="1" applyAlignment="1">
      <alignment horizontal="right"/>
    </xf>
    <xf numFmtId="167" fontId="8" fillId="8" borderId="22" xfId="2" applyNumberFormat="1" applyFont="1" applyFill="1" applyBorder="1" applyAlignment="1"/>
    <xf numFmtId="167" fontId="8" fillId="8" borderId="22" xfId="2" applyNumberFormat="1" applyFont="1" applyFill="1" applyBorder="1" applyAlignment="1">
      <alignment horizontal="right"/>
    </xf>
    <xf numFmtId="167" fontId="13" fillId="8" borderId="31" xfId="2" applyNumberFormat="1" applyFont="1" applyFill="1" applyBorder="1" applyAlignment="1">
      <alignment horizontal="right"/>
    </xf>
    <xf numFmtId="167" fontId="6" fillId="8" borderId="19" xfId="2" applyNumberFormat="1" applyFont="1" applyFill="1" applyBorder="1" applyAlignment="1"/>
    <xf numFmtId="170" fontId="10" fillId="9" borderId="22" xfId="2" quotePrefix="1" applyNumberFormat="1" applyFont="1" applyFill="1" applyBorder="1" applyAlignment="1">
      <alignment horizontal="right"/>
    </xf>
    <xf numFmtId="10" fontId="9" fillId="9" borderId="22" xfId="0" applyNumberFormat="1" applyFont="1" applyFill="1" applyBorder="1" applyAlignment="1">
      <alignment horizontal="center"/>
    </xf>
    <xf numFmtId="166" fontId="23" fillId="9" borderId="22" xfId="0" applyNumberFormat="1" applyFont="1" applyFill="1" applyBorder="1" applyAlignment="1">
      <alignment horizontal="center"/>
    </xf>
    <xf numFmtId="164" fontId="8" fillId="7" borderId="31" xfId="0" applyNumberFormat="1" applyFont="1" applyFill="1" applyBorder="1"/>
    <xf numFmtId="4" fontId="21" fillId="7" borderId="0" xfId="0" applyNumberFormat="1" applyFont="1" applyFill="1" applyAlignment="1">
      <alignment horizontal="left"/>
    </xf>
    <xf numFmtId="43" fontId="8" fillId="7" borderId="0" xfId="3" applyFont="1" applyFill="1" applyAlignment="1"/>
    <xf numFmtId="43" fontId="8" fillId="7" borderId="0" xfId="3" applyFont="1" applyFill="1" applyBorder="1" applyAlignment="1"/>
    <xf numFmtId="164" fontId="20" fillId="7" borderId="22" xfId="0" applyNumberFormat="1" applyFont="1" applyFill="1" applyBorder="1"/>
    <xf numFmtId="166" fontId="23" fillId="7" borderId="22" xfId="0" applyNumberFormat="1" applyFont="1" applyFill="1" applyBorder="1" applyAlignment="1">
      <alignment horizontal="center"/>
    </xf>
    <xf numFmtId="10" fontId="9" fillId="7" borderId="22" xfId="0" applyNumberFormat="1" applyFont="1" applyFill="1" applyBorder="1" applyAlignment="1">
      <alignment horizontal="center"/>
    </xf>
    <xf numFmtId="170" fontId="10" fillId="7" borderId="22" xfId="2" quotePrefix="1" applyNumberFormat="1" applyFont="1" applyFill="1" applyBorder="1" applyAlignment="1">
      <alignment horizontal="right"/>
    </xf>
    <xf numFmtId="5" fontId="22" fillId="7" borderId="33" xfId="0" applyNumberFormat="1" applyFont="1" applyFill="1" applyBorder="1" applyAlignment="1">
      <alignment horizontal="right"/>
    </xf>
    <xf numFmtId="4" fontId="21" fillId="7" borderId="0" xfId="0" applyNumberFormat="1" applyFont="1" applyFill="1" applyAlignment="1">
      <alignment horizontal="right"/>
    </xf>
    <xf numFmtId="173" fontId="22" fillId="7" borderId="0" xfId="1" applyNumberFormat="1" applyFont="1" applyFill="1" applyBorder="1" applyAlignment="1">
      <alignment vertical="center"/>
    </xf>
    <xf numFmtId="4" fontId="22" fillId="7" borderId="0" xfId="0" applyNumberFormat="1" applyFont="1" applyFill="1" applyAlignment="1">
      <alignment horizontal="right"/>
    </xf>
    <xf numFmtId="4" fontId="22" fillId="7" borderId="0" xfId="0" applyNumberFormat="1" applyFont="1" applyFill="1" applyAlignment="1">
      <alignment horizontal="right" wrapText="1"/>
    </xf>
    <xf numFmtId="44" fontId="22" fillId="7" borderId="0" xfId="2" applyFont="1" applyFill="1" applyBorder="1" applyAlignment="1">
      <alignment horizontal="right" wrapText="1"/>
    </xf>
    <xf numFmtId="171" fontId="22" fillId="7" borderId="0" xfId="0" applyNumberFormat="1" applyFont="1" applyFill="1" applyAlignment="1">
      <alignment vertical="center"/>
    </xf>
    <xf numFmtId="164" fontId="6" fillId="7" borderId="34" xfId="0" applyNumberFormat="1" applyFont="1" applyFill="1" applyBorder="1"/>
    <xf numFmtId="9" fontId="8" fillId="3" borderId="31" xfId="1" applyFont="1" applyFill="1" applyBorder="1" applyAlignment="1"/>
    <xf numFmtId="10" fontId="10" fillId="6" borderId="19" xfId="0" applyNumberFormat="1" applyFont="1" applyFill="1" applyBorder="1"/>
    <xf numFmtId="164" fontId="8" fillId="6" borderId="29" xfId="0" applyNumberFormat="1" applyFont="1" applyFill="1" applyBorder="1"/>
    <xf numFmtId="4" fontId="8" fillId="3" borderId="19" xfId="0" applyNumberFormat="1" applyFont="1" applyFill="1" applyBorder="1" applyAlignment="1">
      <alignment horizontal="center"/>
    </xf>
    <xf numFmtId="164" fontId="20" fillId="7" borderId="29" xfId="0" applyNumberFormat="1" applyFont="1" applyFill="1" applyBorder="1"/>
    <xf numFmtId="166" fontId="23" fillId="7" borderId="29" xfId="0" applyNumberFormat="1" applyFont="1" applyFill="1" applyBorder="1" applyAlignment="1">
      <alignment horizontal="center"/>
    </xf>
    <xf numFmtId="10" fontId="9" fillId="7" borderId="29" xfId="0" applyNumberFormat="1" applyFont="1" applyFill="1" applyBorder="1" applyAlignment="1">
      <alignment horizontal="center"/>
    </xf>
    <xf numFmtId="170" fontId="10" fillId="7" borderId="29" xfId="2" quotePrefix="1" applyNumberFormat="1" applyFont="1" applyFill="1" applyBorder="1" applyAlignment="1">
      <alignment horizontal="right"/>
    </xf>
    <xf numFmtId="164" fontId="6" fillId="7" borderId="25" xfId="0" quotePrefix="1" applyNumberFormat="1" applyFont="1" applyFill="1" applyBorder="1" applyAlignment="1">
      <alignment horizontal="right"/>
    </xf>
    <xf numFmtId="10" fontId="6" fillId="7" borderId="19" xfId="0" applyNumberFormat="1" applyFont="1" applyFill="1" applyBorder="1" applyAlignment="1">
      <alignment horizontal="center"/>
    </xf>
    <xf numFmtId="164" fontId="19" fillId="7" borderId="34" xfId="0" applyNumberFormat="1" applyFont="1" applyFill="1" applyBorder="1"/>
    <xf numFmtId="4" fontId="19" fillId="7" borderId="19" xfId="0" applyNumberFormat="1" applyFont="1" applyFill="1" applyBorder="1" applyAlignment="1">
      <alignment horizontal="center"/>
    </xf>
    <xf numFmtId="164" fontId="8" fillId="7" borderId="35" xfId="0" applyNumberFormat="1" applyFont="1" applyFill="1" applyBorder="1" applyAlignment="1">
      <alignment horizontal="center"/>
    </xf>
    <xf numFmtId="164" fontId="8" fillId="7" borderId="19" xfId="0" applyNumberFormat="1" applyFont="1" applyFill="1" applyBorder="1"/>
    <xf numFmtId="164" fontId="20" fillId="9" borderId="29" xfId="0" applyNumberFormat="1" applyFont="1" applyFill="1" applyBorder="1"/>
    <xf numFmtId="166" fontId="23" fillId="9" borderId="29" xfId="0" applyNumberFormat="1" applyFont="1" applyFill="1" applyBorder="1" applyAlignment="1">
      <alignment horizontal="center"/>
    </xf>
    <xf numFmtId="10" fontId="9" fillId="9" borderId="29" xfId="0" applyNumberFormat="1" applyFont="1" applyFill="1" applyBorder="1" applyAlignment="1">
      <alignment horizontal="center"/>
    </xf>
    <xf numFmtId="170" fontId="10" fillId="9" borderId="29" xfId="2" quotePrefix="1" applyNumberFormat="1" applyFont="1" applyFill="1" applyBorder="1" applyAlignment="1">
      <alignment horizontal="right"/>
    </xf>
    <xf numFmtId="10" fontId="17" fillId="6" borderId="8" xfId="1" applyNumberFormat="1" applyFont="1" applyFill="1" applyBorder="1" applyAlignment="1">
      <alignment horizontal="right"/>
    </xf>
    <xf numFmtId="4" fontId="8" fillId="6" borderId="22" xfId="0" applyNumberFormat="1" applyFont="1" applyFill="1" applyBorder="1"/>
    <xf numFmtId="164" fontId="8" fillId="8" borderId="0" xfId="0" quotePrefix="1" applyNumberFormat="1" applyFont="1" applyFill="1"/>
    <xf numFmtId="0" fontId="25" fillId="0" borderId="0" xfId="0" quotePrefix="1" applyFont="1"/>
    <xf numFmtId="10" fontId="8" fillId="0" borderId="0" xfId="1" applyNumberFormat="1" applyFont="1"/>
    <xf numFmtId="43" fontId="6" fillId="0" borderId="0" xfId="3" applyFont="1"/>
    <xf numFmtId="43" fontId="8" fillId="0" borderId="0" xfId="3" applyFont="1"/>
    <xf numFmtId="43" fontId="8" fillId="8" borderId="0" xfId="3" applyFont="1" applyFill="1"/>
    <xf numFmtId="1" fontId="8" fillId="0" borderId="5" xfId="0" applyNumberFormat="1" applyFont="1" applyBorder="1" applyAlignment="1">
      <alignment horizontal="center"/>
    </xf>
    <xf numFmtId="44" fontId="8" fillId="8" borderId="22" xfId="2" applyFont="1" applyFill="1" applyBorder="1" applyAlignment="1">
      <alignment horizontal="right"/>
    </xf>
    <xf numFmtId="167" fontId="6" fillId="8" borderId="19" xfId="2" applyNumberFormat="1" applyFont="1" applyFill="1" applyBorder="1"/>
    <xf numFmtId="167" fontId="10" fillId="7" borderId="31" xfId="2" applyNumberFormat="1" applyFont="1" applyFill="1" applyBorder="1" applyAlignment="1">
      <alignment horizontal="right"/>
    </xf>
    <xf numFmtId="167" fontId="9" fillId="7" borderId="25" xfId="2" applyNumberFormat="1" applyFont="1" applyFill="1" applyBorder="1" applyAlignment="1">
      <alignment horizontal="right"/>
    </xf>
    <xf numFmtId="167" fontId="6" fillId="8" borderId="7" xfId="2" applyNumberFormat="1" applyFont="1" applyFill="1" applyBorder="1"/>
    <xf numFmtId="167" fontId="6" fillId="8" borderId="28" xfId="2" applyNumberFormat="1" applyFont="1" applyFill="1" applyBorder="1"/>
    <xf numFmtId="9" fontId="14" fillId="7" borderId="29" xfId="1" applyFont="1" applyFill="1" applyBorder="1" applyAlignment="1">
      <alignment vertical="center"/>
    </xf>
    <xf numFmtId="167" fontId="8" fillId="8" borderId="5" xfId="2" applyNumberFormat="1" applyFont="1" applyFill="1" applyBorder="1" applyAlignment="1">
      <alignment horizontal="right"/>
    </xf>
    <xf numFmtId="164" fontId="8" fillId="5" borderId="17" xfId="0" applyNumberFormat="1" applyFont="1" applyFill="1" applyBorder="1"/>
    <xf numFmtId="166" fontId="8" fillId="8" borderId="22" xfId="0" applyNumberFormat="1" applyFont="1" applyFill="1" applyBorder="1" applyAlignment="1">
      <alignment horizontal="right"/>
    </xf>
    <xf numFmtId="174" fontId="26" fillId="5" borderId="22" xfId="1" applyNumberFormat="1" applyFont="1" applyFill="1" applyBorder="1" applyAlignment="1"/>
    <xf numFmtId="10" fontId="8" fillId="8" borderId="22" xfId="1" applyNumberFormat="1" applyFont="1" applyFill="1" applyBorder="1" applyAlignment="1">
      <alignment horizontal="right"/>
    </xf>
    <xf numFmtId="164" fontId="27" fillId="0" borderId="0" xfId="0" applyNumberFormat="1" applyFont="1"/>
    <xf numFmtId="164" fontId="8" fillId="6" borderId="36" xfId="0" quotePrefix="1" applyNumberFormat="1" applyFont="1" applyFill="1" applyBorder="1"/>
    <xf numFmtId="164" fontId="8" fillId="6" borderId="36" xfId="0" applyNumberFormat="1" applyFont="1" applyFill="1" applyBorder="1"/>
    <xf numFmtId="164" fontId="8" fillId="6" borderId="24" xfId="0" quotePrefix="1" applyNumberFormat="1" applyFont="1" applyFill="1" applyBorder="1"/>
    <xf numFmtId="4" fontId="6" fillId="8" borderId="19" xfId="0" applyNumberFormat="1" applyFont="1" applyFill="1" applyBorder="1" applyAlignment="1">
      <alignment horizontal="center"/>
    </xf>
    <xf numFmtId="164" fontId="6" fillId="7" borderId="35" xfId="0" applyNumberFormat="1" applyFont="1" applyFill="1" applyBorder="1" applyAlignment="1">
      <alignment horizontal="center"/>
    </xf>
    <xf numFmtId="164" fontId="8" fillId="5" borderId="17" xfId="0" applyNumberFormat="1" applyFont="1" applyFill="1" applyBorder="1" applyAlignment="1">
      <alignment wrapText="1"/>
    </xf>
    <xf numFmtId="164" fontId="26" fillId="5" borderId="17" xfId="0" applyNumberFormat="1" applyFont="1" applyFill="1" applyBorder="1" applyAlignment="1">
      <alignment wrapText="1"/>
    </xf>
    <xf numFmtId="4" fontId="8" fillId="0" borderId="16" xfId="0" applyNumberFormat="1" applyFont="1" applyBorder="1" applyAlignment="1">
      <alignment vertical="center" wrapText="1"/>
    </xf>
    <xf numFmtId="10" fontId="8" fillId="5" borderId="22" xfId="1" applyNumberFormat="1" applyFont="1" applyFill="1" applyBorder="1" applyAlignment="1">
      <alignment horizontal="center" wrapText="1"/>
    </xf>
    <xf numFmtId="10" fontId="8" fillId="8" borderId="22" xfId="1" applyNumberFormat="1" applyFont="1" applyFill="1" applyBorder="1" applyAlignment="1">
      <alignment horizontal="center"/>
    </xf>
    <xf numFmtId="10" fontId="8" fillId="8" borderId="14" xfId="1" applyNumberFormat="1" applyFont="1" applyFill="1" applyBorder="1" applyAlignment="1">
      <alignment horizontal="center"/>
    </xf>
    <xf numFmtId="10" fontId="8" fillId="8" borderId="9" xfId="1" applyNumberFormat="1" applyFont="1" applyFill="1" applyBorder="1" applyAlignment="1">
      <alignment horizontal="center"/>
    </xf>
    <xf numFmtId="10" fontId="8" fillId="8" borderId="8" xfId="1" applyNumberFormat="1" applyFont="1" applyFill="1" applyBorder="1" applyAlignment="1">
      <alignment horizontal="center"/>
    </xf>
    <xf numFmtId="2" fontId="15" fillId="0" borderId="0" xfId="0" applyNumberFormat="1" applyFont="1" applyAlignment="1">
      <alignment horizontal="center"/>
    </xf>
    <xf numFmtId="175" fontId="8" fillId="0" borderId="0" xfId="3" applyNumberFormat="1" applyFont="1"/>
    <xf numFmtId="176" fontId="16" fillId="5" borderId="24" xfId="2" applyNumberFormat="1" applyFont="1" applyFill="1" applyBorder="1" applyAlignment="1">
      <alignment wrapText="1"/>
    </xf>
    <xf numFmtId="176" fontId="26" fillId="5" borderId="23" xfId="2" applyNumberFormat="1" applyFont="1" applyFill="1" applyBorder="1" applyAlignment="1">
      <alignment wrapText="1"/>
    </xf>
    <xf numFmtId="44" fontId="8" fillId="0" borderId="0" xfId="2" applyFont="1"/>
    <xf numFmtId="164" fontId="6" fillId="0" borderId="1" xfId="0" applyNumberFormat="1" applyFont="1" applyBorder="1"/>
    <xf numFmtId="167" fontId="6" fillId="0" borderId="1" xfId="2" applyNumberFormat="1" applyFont="1" applyBorder="1"/>
    <xf numFmtId="164" fontId="6" fillId="0" borderId="1" xfId="0" applyNumberFormat="1" applyFont="1" applyBorder="1" applyAlignment="1">
      <alignment horizontal="center"/>
    </xf>
    <xf numFmtId="167" fontId="10" fillId="7" borderId="29" xfId="2" applyNumberFormat="1" applyFont="1" applyFill="1" applyBorder="1" applyAlignment="1">
      <alignment horizontal="right"/>
    </xf>
    <xf numFmtId="167" fontId="9" fillId="7" borderId="19" xfId="2" applyNumberFormat="1" applyFont="1" applyFill="1" applyBorder="1" applyAlignment="1">
      <alignment horizontal="right"/>
    </xf>
    <xf numFmtId="9" fontId="8" fillId="0" borderId="0" xfId="1" applyFont="1"/>
    <xf numFmtId="10" fontId="8" fillId="10" borderId="22" xfId="1" applyNumberFormat="1" applyFont="1" applyFill="1" applyBorder="1" applyAlignment="1">
      <alignment horizontal="right"/>
    </xf>
    <xf numFmtId="169" fontId="8" fillId="10" borderId="37" xfId="0" applyNumberFormat="1" applyFont="1" applyFill="1" applyBorder="1" applyAlignment="1">
      <alignment horizontal="center"/>
    </xf>
    <xf numFmtId="167" fontId="8" fillId="10" borderId="22" xfId="2" applyNumberFormat="1" applyFont="1" applyFill="1" applyBorder="1" applyAlignment="1">
      <alignment horizontal="right"/>
    </xf>
    <xf numFmtId="167" fontId="6" fillId="10" borderId="28" xfId="2" applyNumberFormat="1" applyFont="1" applyFill="1" applyBorder="1" applyAlignment="1">
      <alignment horizontal="center"/>
    </xf>
    <xf numFmtId="167" fontId="6" fillId="10" borderId="7" xfId="2" applyNumberFormat="1" applyFont="1" applyFill="1" applyBorder="1"/>
    <xf numFmtId="44" fontId="8" fillId="10" borderId="0" xfId="2" applyFont="1" applyFill="1" applyBorder="1"/>
    <xf numFmtId="164" fontId="8" fillId="10" borderId="0" xfId="0" applyNumberFormat="1" applyFont="1" applyFill="1"/>
    <xf numFmtId="44" fontId="8" fillId="10" borderId="38" xfId="2" applyFont="1" applyFill="1" applyBorder="1"/>
    <xf numFmtId="164" fontId="8" fillId="10" borderId="38" xfId="0" quotePrefix="1" applyNumberFormat="1" applyFont="1" applyFill="1" applyBorder="1"/>
    <xf numFmtId="44" fontId="6" fillId="10" borderId="0" xfId="2" applyFont="1" applyFill="1"/>
    <xf numFmtId="164" fontId="8" fillId="10" borderId="38" xfId="0" applyNumberFormat="1" applyFont="1" applyFill="1" applyBorder="1"/>
    <xf numFmtId="44" fontId="8" fillId="10" borderId="22" xfId="2" applyFont="1" applyFill="1" applyBorder="1" applyAlignment="1">
      <alignment horizontal="right"/>
    </xf>
    <xf numFmtId="4" fontId="8" fillId="6" borderId="22" xfId="0" applyNumberFormat="1" applyFont="1" applyFill="1" applyBorder="1" applyAlignment="1">
      <alignment horizontal="center"/>
    </xf>
    <xf numFmtId="4" fontId="8" fillId="0" borderId="16" xfId="0" applyNumberFormat="1" applyFont="1" applyBorder="1" applyAlignment="1">
      <alignment horizontal="center" vertical="center" wrapText="1"/>
    </xf>
    <xf numFmtId="0" fontId="8" fillId="0" borderId="18" xfId="0" applyFont="1" applyBorder="1" applyAlignment="1">
      <alignment horizontal="center" vertical="center"/>
    </xf>
    <xf numFmtId="164" fontId="6" fillId="10" borderId="39" xfId="0" applyNumberFormat="1" applyFont="1" applyFill="1" applyBorder="1" applyAlignment="1">
      <alignment horizontal="left" wrapText="1"/>
    </xf>
    <xf numFmtId="164" fontId="6" fillId="10" borderId="0" xfId="0" applyNumberFormat="1" applyFont="1" applyFill="1" applyAlignment="1">
      <alignment horizontal="left" wrapText="1"/>
    </xf>
    <xf numFmtId="0" fontId="8" fillId="6" borderId="36" xfId="0" quotePrefix="1" applyNumberFormat="1" applyFont="1" applyFill="1" applyBorder="1"/>
  </cellXfs>
  <cellStyles count="4">
    <cellStyle name="Komma" xfId="3" builtinId="3"/>
    <cellStyle name="Prozent" xfId="1" builtinId="5"/>
    <cellStyle name="Standard" xfId="0" builtinId="0"/>
    <cellStyle name="Währung" xfId="2" builtinId="4"/>
  </cellStyles>
  <dxfs count="0"/>
  <tableStyles count="1" defaultTableStyle="TableStyleMedium2" defaultPivotStyle="PivotStyleLight16">
    <tableStyle name="Invisible" pivot="0" table="0" count="0" xr9:uid="{A3BF247D-4E38-4B0D-B686-C8A7CD554AE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1543050</xdr:colOff>
      <xdr:row>19</xdr:row>
      <xdr:rowOff>209550</xdr:rowOff>
    </xdr:from>
    <xdr:to>
      <xdr:col>2</xdr:col>
      <xdr:colOff>190500</xdr:colOff>
      <xdr:row>20</xdr:row>
      <xdr:rowOff>76200</xdr:rowOff>
    </xdr:to>
    <xdr:sp macro="" textlink="">
      <xdr:nvSpPr>
        <xdr:cNvPr id="1030" name="Line 1">
          <a:extLst>
            <a:ext uri="{FF2B5EF4-FFF2-40B4-BE49-F238E27FC236}">
              <a16:creationId xmlns:a16="http://schemas.microsoft.com/office/drawing/2014/main" id="{00000000-0008-0000-0000-000006040000}"/>
            </a:ext>
          </a:extLst>
        </xdr:cNvPr>
        <xdr:cNvSpPr>
          <a:spLocks noChangeShapeType="1"/>
        </xdr:cNvSpPr>
      </xdr:nvSpPr>
      <xdr:spPr bwMode="auto">
        <a:xfrm flipH="1" flipV="1">
          <a:off x="3571875" y="3867150"/>
          <a:ext cx="24765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1543050</xdr:colOff>
      <xdr:row>19</xdr:row>
      <xdr:rowOff>209550</xdr:rowOff>
    </xdr:from>
    <xdr:to>
      <xdr:col>2</xdr:col>
      <xdr:colOff>190500</xdr:colOff>
      <xdr:row>20</xdr:row>
      <xdr:rowOff>76200</xdr:rowOff>
    </xdr:to>
    <xdr:sp macro="" textlink="">
      <xdr:nvSpPr>
        <xdr:cNvPr id="1031" name="Line 5">
          <a:extLst>
            <a:ext uri="{FF2B5EF4-FFF2-40B4-BE49-F238E27FC236}">
              <a16:creationId xmlns:a16="http://schemas.microsoft.com/office/drawing/2014/main" id="{00000000-0008-0000-0000-000007040000}"/>
            </a:ext>
          </a:extLst>
        </xdr:cNvPr>
        <xdr:cNvSpPr>
          <a:spLocks noChangeShapeType="1"/>
        </xdr:cNvSpPr>
      </xdr:nvSpPr>
      <xdr:spPr bwMode="auto">
        <a:xfrm flipH="1" flipV="1">
          <a:off x="3571875" y="3867150"/>
          <a:ext cx="24765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1543050</xdr:colOff>
      <xdr:row>32</xdr:row>
      <xdr:rowOff>209550</xdr:rowOff>
    </xdr:from>
    <xdr:to>
      <xdr:col>2</xdr:col>
      <xdr:colOff>190500</xdr:colOff>
      <xdr:row>33</xdr:row>
      <xdr:rowOff>76200</xdr:rowOff>
    </xdr:to>
    <xdr:sp macro="" textlink="">
      <xdr:nvSpPr>
        <xdr:cNvPr id="4" name="Line 1">
          <a:extLst>
            <a:ext uri="{FF2B5EF4-FFF2-40B4-BE49-F238E27FC236}">
              <a16:creationId xmlns:a16="http://schemas.microsoft.com/office/drawing/2014/main" id="{00000000-0008-0000-0000-000004000000}"/>
            </a:ext>
          </a:extLst>
        </xdr:cNvPr>
        <xdr:cNvSpPr>
          <a:spLocks noChangeShapeType="1"/>
        </xdr:cNvSpPr>
      </xdr:nvSpPr>
      <xdr:spPr bwMode="auto">
        <a:xfrm flipH="1" flipV="1">
          <a:off x="3992336" y="4604657"/>
          <a:ext cx="253093" cy="9797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39757</xdr:colOff>
      <xdr:row>60</xdr:row>
      <xdr:rowOff>39756</xdr:rowOff>
    </xdr:from>
    <xdr:to>
      <xdr:col>2</xdr:col>
      <xdr:colOff>178905</xdr:colOff>
      <xdr:row>62</xdr:row>
      <xdr:rowOff>205409</xdr:rowOff>
    </xdr:to>
    <xdr:sp macro="" textlink="">
      <xdr:nvSpPr>
        <xdr:cNvPr id="2" name="Geschweifte Klammer rechts 1">
          <a:extLst>
            <a:ext uri="{FF2B5EF4-FFF2-40B4-BE49-F238E27FC236}">
              <a16:creationId xmlns:a16="http://schemas.microsoft.com/office/drawing/2014/main" id="{CB8AD54D-413D-43C7-BE28-999006556D1C}"/>
            </a:ext>
          </a:extLst>
        </xdr:cNvPr>
        <xdr:cNvSpPr/>
      </xdr:nvSpPr>
      <xdr:spPr bwMode="auto">
        <a:xfrm>
          <a:off x="4260574" y="10475843"/>
          <a:ext cx="139148" cy="629479"/>
        </a:xfrm>
        <a:prstGeom prst="rightBrace">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lang="de-DE" sz="1100"/>
        </a:p>
      </xdr:txBody>
    </xdr:sp>
    <xdr:clientData/>
  </xdr:twoCellAnchor>
  <xdr:twoCellAnchor>
    <xdr:from>
      <xdr:col>2</xdr:col>
      <xdr:colOff>178905</xdr:colOff>
      <xdr:row>61</xdr:row>
      <xdr:rowOff>122582</xdr:rowOff>
    </xdr:from>
    <xdr:to>
      <xdr:col>3</xdr:col>
      <xdr:colOff>483704</xdr:colOff>
      <xdr:row>63</xdr:row>
      <xdr:rowOff>165651</xdr:rowOff>
    </xdr:to>
    <xdr:cxnSp macro="">
      <xdr:nvCxnSpPr>
        <xdr:cNvPr id="5" name="Verbinder: gewinkelt 4">
          <a:extLst>
            <a:ext uri="{FF2B5EF4-FFF2-40B4-BE49-F238E27FC236}">
              <a16:creationId xmlns:a16="http://schemas.microsoft.com/office/drawing/2014/main" id="{FE8AE268-EB13-433A-A26F-41083591D105}"/>
            </a:ext>
          </a:extLst>
        </xdr:cNvPr>
        <xdr:cNvCxnSpPr>
          <a:stCxn id="2" idx="1"/>
        </xdr:cNvCxnSpPr>
      </xdr:nvCxnSpPr>
      <xdr:spPr bwMode="auto">
        <a:xfrm rot="10800000" flipH="1" flipV="1">
          <a:off x="4399722" y="10790582"/>
          <a:ext cx="1119808" cy="506895"/>
        </a:xfrm>
        <a:prstGeom prst="bentConnector3">
          <a:avLst>
            <a:gd name="adj1" fmla="val 24556"/>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1543050</xdr:colOff>
      <xdr:row>19</xdr:row>
      <xdr:rowOff>209550</xdr:rowOff>
    </xdr:from>
    <xdr:to>
      <xdr:col>2</xdr:col>
      <xdr:colOff>190500</xdr:colOff>
      <xdr:row>20</xdr:row>
      <xdr:rowOff>76200</xdr:rowOff>
    </xdr:to>
    <xdr:sp macro="" textlink="">
      <xdr:nvSpPr>
        <xdr:cNvPr id="2" name="Line 1">
          <a:extLst>
            <a:ext uri="{FF2B5EF4-FFF2-40B4-BE49-F238E27FC236}">
              <a16:creationId xmlns:a16="http://schemas.microsoft.com/office/drawing/2014/main" id="{F549C3C6-213E-4EC6-A780-FB7A68B71D81}"/>
            </a:ext>
          </a:extLst>
        </xdr:cNvPr>
        <xdr:cNvSpPr>
          <a:spLocks noChangeShapeType="1"/>
        </xdr:cNvSpPr>
      </xdr:nvSpPr>
      <xdr:spPr bwMode="auto">
        <a:xfrm flipH="1" flipV="1">
          <a:off x="4181475" y="36385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1543050</xdr:colOff>
      <xdr:row>19</xdr:row>
      <xdr:rowOff>209550</xdr:rowOff>
    </xdr:from>
    <xdr:to>
      <xdr:col>2</xdr:col>
      <xdr:colOff>190500</xdr:colOff>
      <xdr:row>20</xdr:row>
      <xdr:rowOff>76200</xdr:rowOff>
    </xdr:to>
    <xdr:sp macro="" textlink="">
      <xdr:nvSpPr>
        <xdr:cNvPr id="3" name="Line 5">
          <a:extLst>
            <a:ext uri="{FF2B5EF4-FFF2-40B4-BE49-F238E27FC236}">
              <a16:creationId xmlns:a16="http://schemas.microsoft.com/office/drawing/2014/main" id="{1158778E-5A36-47EC-92C4-3872C0325488}"/>
            </a:ext>
          </a:extLst>
        </xdr:cNvPr>
        <xdr:cNvSpPr>
          <a:spLocks noChangeShapeType="1"/>
        </xdr:cNvSpPr>
      </xdr:nvSpPr>
      <xdr:spPr bwMode="auto">
        <a:xfrm flipH="1" flipV="1">
          <a:off x="4181475" y="36385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1543050</xdr:colOff>
      <xdr:row>32</xdr:row>
      <xdr:rowOff>209550</xdr:rowOff>
    </xdr:from>
    <xdr:to>
      <xdr:col>2</xdr:col>
      <xdr:colOff>190500</xdr:colOff>
      <xdr:row>33</xdr:row>
      <xdr:rowOff>76200</xdr:rowOff>
    </xdr:to>
    <xdr:sp macro="" textlink="">
      <xdr:nvSpPr>
        <xdr:cNvPr id="4" name="Line 1">
          <a:extLst>
            <a:ext uri="{FF2B5EF4-FFF2-40B4-BE49-F238E27FC236}">
              <a16:creationId xmlns:a16="http://schemas.microsoft.com/office/drawing/2014/main" id="{1053523F-D1E5-4927-A83D-AEA7DC1F3A21}"/>
            </a:ext>
          </a:extLst>
        </xdr:cNvPr>
        <xdr:cNvSpPr>
          <a:spLocks noChangeShapeType="1"/>
        </xdr:cNvSpPr>
      </xdr:nvSpPr>
      <xdr:spPr bwMode="auto">
        <a:xfrm flipH="1" flipV="1">
          <a:off x="4181475" y="66103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39757</xdr:colOff>
      <xdr:row>60</xdr:row>
      <xdr:rowOff>39756</xdr:rowOff>
    </xdr:from>
    <xdr:to>
      <xdr:col>2</xdr:col>
      <xdr:colOff>178905</xdr:colOff>
      <xdr:row>62</xdr:row>
      <xdr:rowOff>205409</xdr:rowOff>
    </xdr:to>
    <xdr:sp macro="" textlink="">
      <xdr:nvSpPr>
        <xdr:cNvPr id="5" name="Geschweifte Klammer rechts 4">
          <a:extLst>
            <a:ext uri="{FF2B5EF4-FFF2-40B4-BE49-F238E27FC236}">
              <a16:creationId xmlns:a16="http://schemas.microsoft.com/office/drawing/2014/main" id="{E254C325-3C37-4E16-82A2-A2D53923636E}"/>
            </a:ext>
          </a:extLst>
        </xdr:cNvPr>
        <xdr:cNvSpPr/>
      </xdr:nvSpPr>
      <xdr:spPr bwMode="auto">
        <a:xfrm>
          <a:off x="4221232" y="12155556"/>
          <a:ext cx="139148" cy="622853"/>
        </a:xfrm>
        <a:prstGeom prst="rightBrace">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lang="de-DE" sz="1100"/>
        </a:p>
      </xdr:txBody>
    </xdr:sp>
    <xdr:clientData/>
  </xdr:twoCellAnchor>
  <xdr:twoCellAnchor>
    <xdr:from>
      <xdr:col>2</xdr:col>
      <xdr:colOff>178905</xdr:colOff>
      <xdr:row>61</xdr:row>
      <xdr:rowOff>122582</xdr:rowOff>
    </xdr:from>
    <xdr:to>
      <xdr:col>3</xdr:col>
      <xdr:colOff>483704</xdr:colOff>
      <xdr:row>63</xdr:row>
      <xdr:rowOff>165651</xdr:rowOff>
    </xdr:to>
    <xdr:cxnSp macro="">
      <xdr:nvCxnSpPr>
        <xdr:cNvPr id="6" name="Verbinder: gewinkelt 5">
          <a:extLst>
            <a:ext uri="{FF2B5EF4-FFF2-40B4-BE49-F238E27FC236}">
              <a16:creationId xmlns:a16="http://schemas.microsoft.com/office/drawing/2014/main" id="{07B087C4-335B-45CE-ACDD-BB8815033CB4}"/>
            </a:ext>
          </a:extLst>
        </xdr:cNvPr>
        <xdr:cNvCxnSpPr>
          <a:stCxn id="5" idx="1"/>
        </xdr:cNvCxnSpPr>
      </xdr:nvCxnSpPr>
      <xdr:spPr bwMode="auto">
        <a:xfrm rot="10800000" flipH="1" flipV="1">
          <a:off x="4360380" y="12466982"/>
          <a:ext cx="1543049" cy="500269"/>
        </a:xfrm>
        <a:prstGeom prst="bentConnector3">
          <a:avLst>
            <a:gd name="adj1" fmla="val 24556"/>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1543050</xdr:colOff>
      <xdr:row>19</xdr:row>
      <xdr:rowOff>209550</xdr:rowOff>
    </xdr:from>
    <xdr:to>
      <xdr:col>2</xdr:col>
      <xdr:colOff>190500</xdr:colOff>
      <xdr:row>20</xdr:row>
      <xdr:rowOff>76200</xdr:rowOff>
    </xdr:to>
    <xdr:sp macro="" textlink="">
      <xdr:nvSpPr>
        <xdr:cNvPr id="2" name="Line 1">
          <a:extLst>
            <a:ext uri="{FF2B5EF4-FFF2-40B4-BE49-F238E27FC236}">
              <a16:creationId xmlns:a16="http://schemas.microsoft.com/office/drawing/2014/main" id="{ED55811F-4F55-404E-979A-57EFF51B292C}"/>
            </a:ext>
          </a:extLst>
        </xdr:cNvPr>
        <xdr:cNvSpPr>
          <a:spLocks noChangeShapeType="1"/>
        </xdr:cNvSpPr>
      </xdr:nvSpPr>
      <xdr:spPr bwMode="auto">
        <a:xfrm flipH="1" flipV="1">
          <a:off x="4181475" y="36385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1543050</xdr:colOff>
      <xdr:row>19</xdr:row>
      <xdr:rowOff>209550</xdr:rowOff>
    </xdr:from>
    <xdr:to>
      <xdr:col>2</xdr:col>
      <xdr:colOff>190500</xdr:colOff>
      <xdr:row>20</xdr:row>
      <xdr:rowOff>76200</xdr:rowOff>
    </xdr:to>
    <xdr:sp macro="" textlink="">
      <xdr:nvSpPr>
        <xdr:cNvPr id="3" name="Line 5">
          <a:extLst>
            <a:ext uri="{FF2B5EF4-FFF2-40B4-BE49-F238E27FC236}">
              <a16:creationId xmlns:a16="http://schemas.microsoft.com/office/drawing/2014/main" id="{997D3641-08D2-4F10-89BD-6BF21FB93CC8}"/>
            </a:ext>
            <a:ext uri="{147F2762-F138-4A5C-976F-8EAC2B608ADB}">
              <a16:predDERef xmlns:a16="http://schemas.microsoft.com/office/drawing/2014/main" pred="{ED55811F-4F55-404E-979A-57EFF51B292C}"/>
            </a:ext>
          </a:extLst>
        </xdr:cNvPr>
        <xdr:cNvSpPr>
          <a:spLocks noChangeShapeType="1"/>
        </xdr:cNvSpPr>
      </xdr:nvSpPr>
      <xdr:spPr bwMode="auto">
        <a:xfrm flipH="1" flipV="1">
          <a:off x="4181475" y="36385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1543050</xdr:colOff>
      <xdr:row>32</xdr:row>
      <xdr:rowOff>209550</xdr:rowOff>
    </xdr:from>
    <xdr:to>
      <xdr:col>2</xdr:col>
      <xdr:colOff>190500</xdr:colOff>
      <xdr:row>33</xdr:row>
      <xdr:rowOff>76200</xdr:rowOff>
    </xdr:to>
    <xdr:sp macro="" textlink="">
      <xdr:nvSpPr>
        <xdr:cNvPr id="4" name="Line 1">
          <a:extLst>
            <a:ext uri="{FF2B5EF4-FFF2-40B4-BE49-F238E27FC236}">
              <a16:creationId xmlns:a16="http://schemas.microsoft.com/office/drawing/2014/main" id="{8143D117-5629-4BCB-8F58-30E7F7DECFF3}"/>
            </a:ext>
            <a:ext uri="{147F2762-F138-4A5C-976F-8EAC2B608ADB}">
              <a16:predDERef xmlns:a16="http://schemas.microsoft.com/office/drawing/2014/main" pred="{997D3641-08D2-4F10-89BD-6BF21FB93CC8}"/>
            </a:ext>
          </a:extLst>
        </xdr:cNvPr>
        <xdr:cNvSpPr>
          <a:spLocks noChangeShapeType="1"/>
        </xdr:cNvSpPr>
      </xdr:nvSpPr>
      <xdr:spPr bwMode="auto">
        <a:xfrm flipH="1" flipV="1">
          <a:off x="4181475" y="66103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39757</xdr:colOff>
      <xdr:row>60</xdr:row>
      <xdr:rowOff>39756</xdr:rowOff>
    </xdr:from>
    <xdr:to>
      <xdr:col>2</xdr:col>
      <xdr:colOff>178905</xdr:colOff>
      <xdr:row>62</xdr:row>
      <xdr:rowOff>205409</xdr:rowOff>
    </xdr:to>
    <xdr:sp macro="" textlink="">
      <xdr:nvSpPr>
        <xdr:cNvPr id="5" name="Geschweifte Klammer rechts 4">
          <a:extLst>
            <a:ext uri="{FF2B5EF4-FFF2-40B4-BE49-F238E27FC236}">
              <a16:creationId xmlns:a16="http://schemas.microsoft.com/office/drawing/2014/main" id="{B8FF7767-AFFF-4FD0-A869-8FFCA46144D0}"/>
            </a:ext>
            <a:ext uri="{147F2762-F138-4A5C-976F-8EAC2B608ADB}">
              <a16:predDERef xmlns:a16="http://schemas.microsoft.com/office/drawing/2014/main" pred="{8143D117-5629-4BCB-8F58-30E7F7DECFF3}"/>
            </a:ext>
          </a:extLst>
        </xdr:cNvPr>
        <xdr:cNvSpPr/>
      </xdr:nvSpPr>
      <xdr:spPr bwMode="auto">
        <a:xfrm>
          <a:off x="4221232" y="11926956"/>
          <a:ext cx="139148" cy="622853"/>
        </a:xfrm>
        <a:prstGeom prst="rightBrace">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lang="de-DE" sz="1100"/>
        </a:p>
      </xdr:txBody>
    </xdr:sp>
    <xdr:clientData/>
  </xdr:twoCellAnchor>
  <xdr:twoCellAnchor>
    <xdr:from>
      <xdr:col>2</xdr:col>
      <xdr:colOff>178905</xdr:colOff>
      <xdr:row>61</xdr:row>
      <xdr:rowOff>122582</xdr:rowOff>
    </xdr:from>
    <xdr:to>
      <xdr:col>3</xdr:col>
      <xdr:colOff>483704</xdr:colOff>
      <xdr:row>63</xdr:row>
      <xdr:rowOff>165651</xdr:rowOff>
    </xdr:to>
    <xdr:cxnSp macro="">
      <xdr:nvCxnSpPr>
        <xdr:cNvPr id="6" name="Verbinder: gewinkelt 5">
          <a:extLst>
            <a:ext uri="{FF2B5EF4-FFF2-40B4-BE49-F238E27FC236}">
              <a16:creationId xmlns:a16="http://schemas.microsoft.com/office/drawing/2014/main" id="{B66E7A14-508B-4356-9520-AC958A40A210}"/>
            </a:ext>
            <a:ext uri="{147F2762-F138-4A5C-976F-8EAC2B608ADB}">
              <a16:predDERef xmlns:a16="http://schemas.microsoft.com/office/drawing/2014/main" pred="{B8FF7767-AFFF-4FD0-A869-8FFCA46144D0}"/>
            </a:ext>
          </a:extLst>
        </xdr:cNvPr>
        <xdr:cNvCxnSpPr>
          <a:stCxn id="5" idx="1"/>
          <a:extLst>
            <a:ext uri="{5F17804C-33F3-41E3-A699-7DCFA2EF7971}">
              <a16:cxnDERefs xmlns:a16="http://schemas.microsoft.com/office/drawing/2014/main" st="{B8FF7767-AFFF-4FD0-A869-8FFCA46144D0}" end="{00000000-0000-0000-0000-000000000000}"/>
            </a:ext>
          </a:extLst>
        </xdr:cNvCxnSpPr>
      </xdr:nvCxnSpPr>
      <xdr:spPr bwMode="auto">
        <a:xfrm rot="10800000" flipH="1" flipV="1">
          <a:off x="4360380" y="12238382"/>
          <a:ext cx="1543049" cy="500269"/>
        </a:xfrm>
        <a:prstGeom prst="bentConnector3">
          <a:avLst>
            <a:gd name="adj1" fmla="val 24556"/>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1543050</xdr:colOff>
      <xdr:row>19</xdr:row>
      <xdr:rowOff>209550</xdr:rowOff>
    </xdr:from>
    <xdr:to>
      <xdr:col>2</xdr:col>
      <xdr:colOff>190500</xdr:colOff>
      <xdr:row>20</xdr:row>
      <xdr:rowOff>76200</xdr:rowOff>
    </xdr:to>
    <xdr:sp macro="" textlink="">
      <xdr:nvSpPr>
        <xdr:cNvPr id="2" name="Line 1">
          <a:extLst>
            <a:ext uri="{FF2B5EF4-FFF2-40B4-BE49-F238E27FC236}">
              <a16:creationId xmlns:a16="http://schemas.microsoft.com/office/drawing/2014/main" id="{6332FCA1-6B5C-432D-B7BA-E40317F198DC}"/>
            </a:ext>
          </a:extLst>
        </xdr:cNvPr>
        <xdr:cNvSpPr>
          <a:spLocks noChangeShapeType="1"/>
        </xdr:cNvSpPr>
      </xdr:nvSpPr>
      <xdr:spPr bwMode="auto">
        <a:xfrm flipH="1" flipV="1">
          <a:off x="4181475" y="36385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1543050</xdr:colOff>
      <xdr:row>19</xdr:row>
      <xdr:rowOff>209550</xdr:rowOff>
    </xdr:from>
    <xdr:to>
      <xdr:col>2</xdr:col>
      <xdr:colOff>190500</xdr:colOff>
      <xdr:row>20</xdr:row>
      <xdr:rowOff>76200</xdr:rowOff>
    </xdr:to>
    <xdr:sp macro="" textlink="">
      <xdr:nvSpPr>
        <xdr:cNvPr id="3" name="Line 5">
          <a:extLst>
            <a:ext uri="{FF2B5EF4-FFF2-40B4-BE49-F238E27FC236}">
              <a16:creationId xmlns:a16="http://schemas.microsoft.com/office/drawing/2014/main" id="{FDB4C359-C8D9-438B-BD12-A3E3511A0117}"/>
            </a:ext>
            <a:ext uri="{147F2762-F138-4A5C-976F-8EAC2B608ADB}">
              <a16:predDERef xmlns:a16="http://schemas.microsoft.com/office/drawing/2014/main" pred="{6332FCA1-6B5C-432D-B7BA-E40317F198DC}"/>
            </a:ext>
          </a:extLst>
        </xdr:cNvPr>
        <xdr:cNvSpPr>
          <a:spLocks noChangeShapeType="1"/>
        </xdr:cNvSpPr>
      </xdr:nvSpPr>
      <xdr:spPr bwMode="auto">
        <a:xfrm flipH="1" flipV="1">
          <a:off x="4181475" y="36385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1543050</xdr:colOff>
      <xdr:row>32</xdr:row>
      <xdr:rowOff>209550</xdr:rowOff>
    </xdr:from>
    <xdr:to>
      <xdr:col>2</xdr:col>
      <xdr:colOff>190500</xdr:colOff>
      <xdr:row>33</xdr:row>
      <xdr:rowOff>76200</xdr:rowOff>
    </xdr:to>
    <xdr:sp macro="" textlink="">
      <xdr:nvSpPr>
        <xdr:cNvPr id="4" name="Line 1">
          <a:extLst>
            <a:ext uri="{FF2B5EF4-FFF2-40B4-BE49-F238E27FC236}">
              <a16:creationId xmlns:a16="http://schemas.microsoft.com/office/drawing/2014/main" id="{A413F82F-E3E5-4A08-9BB9-133C40E1264C}"/>
            </a:ext>
            <a:ext uri="{147F2762-F138-4A5C-976F-8EAC2B608ADB}">
              <a16:predDERef xmlns:a16="http://schemas.microsoft.com/office/drawing/2014/main" pred="{FDB4C359-C8D9-438B-BD12-A3E3511A0117}"/>
            </a:ext>
          </a:extLst>
        </xdr:cNvPr>
        <xdr:cNvSpPr>
          <a:spLocks noChangeShapeType="1"/>
        </xdr:cNvSpPr>
      </xdr:nvSpPr>
      <xdr:spPr bwMode="auto">
        <a:xfrm flipH="1" flipV="1">
          <a:off x="4181475" y="66103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39757</xdr:colOff>
      <xdr:row>60</xdr:row>
      <xdr:rowOff>39756</xdr:rowOff>
    </xdr:from>
    <xdr:to>
      <xdr:col>2</xdr:col>
      <xdr:colOff>178905</xdr:colOff>
      <xdr:row>62</xdr:row>
      <xdr:rowOff>205409</xdr:rowOff>
    </xdr:to>
    <xdr:sp macro="" textlink="">
      <xdr:nvSpPr>
        <xdr:cNvPr id="5" name="Geschweifte Klammer rechts 4">
          <a:extLst>
            <a:ext uri="{FF2B5EF4-FFF2-40B4-BE49-F238E27FC236}">
              <a16:creationId xmlns:a16="http://schemas.microsoft.com/office/drawing/2014/main" id="{637A42EC-13E4-49E2-B631-DDBB0A12003A}"/>
            </a:ext>
            <a:ext uri="{147F2762-F138-4A5C-976F-8EAC2B608ADB}">
              <a16:predDERef xmlns:a16="http://schemas.microsoft.com/office/drawing/2014/main" pred="{A413F82F-E3E5-4A08-9BB9-133C40E1264C}"/>
            </a:ext>
          </a:extLst>
        </xdr:cNvPr>
        <xdr:cNvSpPr/>
      </xdr:nvSpPr>
      <xdr:spPr bwMode="auto">
        <a:xfrm>
          <a:off x="4221232" y="11926956"/>
          <a:ext cx="139148" cy="622853"/>
        </a:xfrm>
        <a:prstGeom prst="rightBrace">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lang="de-DE" sz="1100"/>
        </a:p>
      </xdr:txBody>
    </xdr:sp>
    <xdr:clientData/>
  </xdr:twoCellAnchor>
  <xdr:twoCellAnchor>
    <xdr:from>
      <xdr:col>2</xdr:col>
      <xdr:colOff>178905</xdr:colOff>
      <xdr:row>61</xdr:row>
      <xdr:rowOff>122582</xdr:rowOff>
    </xdr:from>
    <xdr:to>
      <xdr:col>3</xdr:col>
      <xdr:colOff>483704</xdr:colOff>
      <xdr:row>63</xdr:row>
      <xdr:rowOff>165651</xdr:rowOff>
    </xdr:to>
    <xdr:cxnSp macro="">
      <xdr:nvCxnSpPr>
        <xdr:cNvPr id="6" name="Verbinder: gewinkelt 5">
          <a:extLst>
            <a:ext uri="{FF2B5EF4-FFF2-40B4-BE49-F238E27FC236}">
              <a16:creationId xmlns:a16="http://schemas.microsoft.com/office/drawing/2014/main" id="{F6A8A440-FED7-4F92-A34D-51DF03DC7D4E}"/>
            </a:ext>
            <a:ext uri="{147F2762-F138-4A5C-976F-8EAC2B608ADB}">
              <a16:predDERef xmlns:a16="http://schemas.microsoft.com/office/drawing/2014/main" pred="{637A42EC-13E4-49E2-B631-DDBB0A12003A}"/>
            </a:ext>
          </a:extLst>
        </xdr:cNvPr>
        <xdr:cNvCxnSpPr>
          <a:stCxn id="5" idx="1"/>
          <a:extLst>
            <a:ext uri="{5F17804C-33F3-41E3-A699-7DCFA2EF7971}">
              <a16:cxnDERefs xmlns:a16="http://schemas.microsoft.com/office/drawing/2014/main" st="{637A42EC-13E4-49E2-B631-DDBB0A12003A}" end="{00000000-0000-0000-0000-000000000000}"/>
            </a:ext>
          </a:extLst>
        </xdr:cNvCxnSpPr>
      </xdr:nvCxnSpPr>
      <xdr:spPr bwMode="auto">
        <a:xfrm rot="10800000" flipH="1" flipV="1">
          <a:off x="4360380" y="12238382"/>
          <a:ext cx="1543049" cy="500269"/>
        </a:xfrm>
        <a:prstGeom prst="bentConnector3">
          <a:avLst>
            <a:gd name="adj1" fmla="val 24556"/>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178905</xdr:colOff>
      <xdr:row>61</xdr:row>
      <xdr:rowOff>122582</xdr:rowOff>
    </xdr:from>
    <xdr:to>
      <xdr:col>3</xdr:col>
      <xdr:colOff>483704</xdr:colOff>
      <xdr:row>63</xdr:row>
      <xdr:rowOff>165651</xdr:rowOff>
    </xdr:to>
    <xdr:cxnSp macro="">
      <xdr:nvCxnSpPr>
        <xdr:cNvPr id="7" name="Verbinder: gewinkelt 6">
          <a:extLst>
            <a:ext uri="{FF2B5EF4-FFF2-40B4-BE49-F238E27FC236}">
              <a16:creationId xmlns:a16="http://schemas.microsoft.com/office/drawing/2014/main" id="{700A9D06-3034-45CE-9C98-5F6C9B9373B0}"/>
            </a:ext>
            <a:ext uri="{147F2762-F138-4A5C-976F-8EAC2B608ADB}">
              <a16:predDERef xmlns:a16="http://schemas.microsoft.com/office/drawing/2014/main" pred="{B8FF7767-AFFF-4FD0-A869-8FFCA46144D0}"/>
            </a:ext>
          </a:extLst>
        </xdr:cNvPr>
        <xdr:cNvCxnSpPr>
          <a:extLst>
            <a:ext uri="{5F17804C-33F3-41E3-A699-7DCFA2EF7971}">
              <a16:cxnDERefs xmlns:a16="http://schemas.microsoft.com/office/drawing/2014/main" st="{B8FF7767-AFFF-4FD0-A869-8FFCA46144D0}" end="{00000000-0000-0000-0000-000000000000}"/>
            </a:ext>
          </a:extLst>
        </xdr:cNvCxnSpPr>
      </xdr:nvCxnSpPr>
      <xdr:spPr bwMode="auto">
        <a:xfrm rot="10800000" flipH="1" flipV="1">
          <a:off x="4360380" y="11323982"/>
          <a:ext cx="1543049" cy="500269"/>
        </a:xfrm>
        <a:prstGeom prst="bentConnector3">
          <a:avLst>
            <a:gd name="adj1" fmla="val 24556"/>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1543050</xdr:colOff>
      <xdr:row>19</xdr:row>
      <xdr:rowOff>209550</xdr:rowOff>
    </xdr:from>
    <xdr:to>
      <xdr:col>2</xdr:col>
      <xdr:colOff>190500</xdr:colOff>
      <xdr:row>20</xdr:row>
      <xdr:rowOff>76200</xdr:rowOff>
    </xdr:to>
    <xdr:sp macro="" textlink="">
      <xdr:nvSpPr>
        <xdr:cNvPr id="2" name="Line 1">
          <a:extLst>
            <a:ext uri="{FF2B5EF4-FFF2-40B4-BE49-F238E27FC236}">
              <a16:creationId xmlns:a16="http://schemas.microsoft.com/office/drawing/2014/main" id="{6FDD30BE-C12E-4857-9E0A-D66A2E44D1F6}"/>
            </a:ext>
          </a:extLst>
        </xdr:cNvPr>
        <xdr:cNvSpPr>
          <a:spLocks noChangeShapeType="1"/>
        </xdr:cNvSpPr>
      </xdr:nvSpPr>
      <xdr:spPr bwMode="auto">
        <a:xfrm flipH="1" flipV="1">
          <a:off x="4181475" y="36385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1543050</xdr:colOff>
      <xdr:row>19</xdr:row>
      <xdr:rowOff>209550</xdr:rowOff>
    </xdr:from>
    <xdr:to>
      <xdr:col>2</xdr:col>
      <xdr:colOff>190500</xdr:colOff>
      <xdr:row>20</xdr:row>
      <xdr:rowOff>76200</xdr:rowOff>
    </xdr:to>
    <xdr:sp macro="" textlink="">
      <xdr:nvSpPr>
        <xdr:cNvPr id="3" name="Line 5">
          <a:extLst>
            <a:ext uri="{FF2B5EF4-FFF2-40B4-BE49-F238E27FC236}">
              <a16:creationId xmlns:a16="http://schemas.microsoft.com/office/drawing/2014/main" id="{2C886B71-623E-49A1-A178-6FDEA8B427DC}"/>
            </a:ext>
            <a:ext uri="{147F2762-F138-4A5C-976F-8EAC2B608ADB}">
              <a16:predDERef xmlns:a16="http://schemas.microsoft.com/office/drawing/2014/main" pred="{6FDD30BE-C12E-4857-9E0A-D66A2E44D1F6}"/>
            </a:ext>
          </a:extLst>
        </xdr:cNvPr>
        <xdr:cNvSpPr>
          <a:spLocks noChangeShapeType="1"/>
        </xdr:cNvSpPr>
      </xdr:nvSpPr>
      <xdr:spPr bwMode="auto">
        <a:xfrm flipH="1" flipV="1">
          <a:off x="4181475" y="36385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1543050</xdr:colOff>
      <xdr:row>32</xdr:row>
      <xdr:rowOff>209550</xdr:rowOff>
    </xdr:from>
    <xdr:to>
      <xdr:col>2</xdr:col>
      <xdr:colOff>190500</xdr:colOff>
      <xdr:row>33</xdr:row>
      <xdr:rowOff>76200</xdr:rowOff>
    </xdr:to>
    <xdr:sp macro="" textlink="">
      <xdr:nvSpPr>
        <xdr:cNvPr id="4" name="Line 1">
          <a:extLst>
            <a:ext uri="{FF2B5EF4-FFF2-40B4-BE49-F238E27FC236}">
              <a16:creationId xmlns:a16="http://schemas.microsoft.com/office/drawing/2014/main" id="{677A27F3-02BA-4D04-889C-1BD6E94C1A56}"/>
            </a:ext>
            <a:ext uri="{147F2762-F138-4A5C-976F-8EAC2B608ADB}">
              <a16:predDERef xmlns:a16="http://schemas.microsoft.com/office/drawing/2014/main" pred="{2C886B71-623E-49A1-A178-6FDEA8B427DC}"/>
            </a:ext>
          </a:extLst>
        </xdr:cNvPr>
        <xdr:cNvSpPr>
          <a:spLocks noChangeShapeType="1"/>
        </xdr:cNvSpPr>
      </xdr:nvSpPr>
      <xdr:spPr bwMode="auto">
        <a:xfrm flipH="1" flipV="1">
          <a:off x="4181475" y="6610350"/>
          <a:ext cx="1905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39757</xdr:colOff>
      <xdr:row>60</xdr:row>
      <xdr:rowOff>39756</xdr:rowOff>
    </xdr:from>
    <xdr:to>
      <xdr:col>2</xdr:col>
      <xdr:colOff>178905</xdr:colOff>
      <xdr:row>62</xdr:row>
      <xdr:rowOff>205409</xdr:rowOff>
    </xdr:to>
    <xdr:sp macro="" textlink="">
      <xdr:nvSpPr>
        <xdr:cNvPr id="5" name="Geschweifte Klammer rechts 4">
          <a:extLst>
            <a:ext uri="{FF2B5EF4-FFF2-40B4-BE49-F238E27FC236}">
              <a16:creationId xmlns:a16="http://schemas.microsoft.com/office/drawing/2014/main" id="{5D000905-6A31-4361-BD5C-00E788106CFD}"/>
            </a:ext>
            <a:ext uri="{147F2762-F138-4A5C-976F-8EAC2B608ADB}">
              <a16:predDERef xmlns:a16="http://schemas.microsoft.com/office/drawing/2014/main" pred="{677A27F3-02BA-4D04-889C-1BD6E94C1A56}"/>
            </a:ext>
          </a:extLst>
        </xdr:cNvPr>
        <xdr:cNvSpPr/>
      </xdr:nvSpPr>
      <xdr:spPr bwMode="auto">
        <a:xfrm>
          <a:off x="4221232" y="11926956"/>
          <a:ext cx="139148" cy="622853"/>
        </a:xfrm>
        <a:prstGeom prst="rightBrace">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lang="de-DE" sz="1100"/>
        </a:p>
      </xdr:txBody>
    </xdr:sp>
    <xdr:clientData/>
  </xdr:twoCellAnchor>
  <xdr:twoCellAnchor>
    <xdr:from>
      <xdr:col>2</xdr:col>
      <xdr:colOff>178905</xdr:colOff>
      <xdr:row>61</xdr:row>
      <xdr:rowOff>122582</xdr:rowOff>
    </xdr:from>
    <xdr:to>
      <xdr:col>3</xdr:col>
      <xdr:colOff>483704</xdr:colOff>
      <xdr:row>63</xdr:row>
      <xdr:rowOff>165651</xdr:rowOff>
    </xdr:to>
    <xdr:cxnSp macro="">
      <xdr:nvCxnSpPr>
        <xdr:cNvPr id="6" name="Verbinder: gewinkelt 5">
          <a:extLst>
            <a:ext uri="{FF2B5EF4-FFF2-40B4-BE49-F238E27FC236}">
              <a16:creationId xmlns:a16="http://schemas.microsoft.com/office/drawing/2014/main" id="{3FF5EF18-1393-4C8C-BB80-608D78439B7C}"/>
            </a:ext>
            <a:ext uri="{147F2762-F138-4A5C-976F-8EAC2B608ADB}">
              <a16:predDERef xmlns:a16="http://schemas.microsoft.com/office/drawing/2014/main" pred="{5D000905-6A31-4361-BD5C-00E788106CFD}"/>
            </a:ext>
          </a:extLst>
        </xdr:cNvPr>
        <xdr:cNvCxnSpPr>
          <a:stCxn id="5" idx="1"/>
          <a:extLst>
            <a:ext uri="{5F17804C-33F3-41E3-A699-7DCFA2EF7971}">
              <a16:cxnDERefs xmlns:a16="http://schemas.microsoft.com/office/drawing/2014/main" st="{5D000905-6A31-4361-BD5C-00E788106CFD}" end="{00000000-0000-0000-0000-000000000000}"/>
            </a:ext>
          </a:extLst>
        </xdr:cNvCxnSpPr>
      </xdr:nvCxnSpPr>
      <xdr:spPr bwMode="auto">
        <a:xfrm rot="10800000" flipH="1" flipV="1">
          <a:off x="4360380" y="12238382"/>
          <a:ext cx="1543049" cy="500269"/>
        </a:xfrm>
        <a:prstGeom prst="bentConnector3">
          <a:avLst>
            <a:gd name="adj1" fmla="val 24556"/>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178905</xdr:colOff>
      <xdr:row>61</xdr:row>
      <xdr:rowOff>122582</xdr:rowOff>
    </xdr:from>
    <xdr:to>
      <xdr:col>3</xdr:col>
      <xdr:colOff>483704</xdr:colOff>
      <xdr:row>63</xdr:row>
      <xdr:rowOff>165651</xdr:rowOff>
    </xdr:to>
    <xdr:cxnSp macro="">
      <xdr:nvCxnSpPr>
        <xdr:cNvPr id="7" name="Verbinder: gewinkelt 6">
          <a:extLst>
            <a:ext uri="{FF2B5EF4-FFF2-40B4-BE49-F238E27FC236}">
              <a16:creationId xmlns:a16="http://schemas.microsoft.com/office/drawing/2014/main" id="{DEEE0D8F-14E2-4438-A72C-6857CD77D841}"/>
            </a:ext>
            <a:ext uri="{147F2762-F138-4A5C-976F-8EAC2B608ADB}">
              <a16:predDERef xmlns:a16="http://schemas.microsoft.com/office/drawing/2014/main" pred="{B8FF7767-AFFF-4FD0-A869-8FFCA46144D0}"/>
            </a:ext>
          </a:extLst>
        </xdr:cNvPr>
        <xdr:cNvCxnSpPr>
          <a:extLst>
            <a:ext uri="{5F17804C-33F3-41E3-A699-7DCFA2EF7971}">
              <a16:cxnDERefs xmlns:a16="http://schemas.microsoft.com/office/drawing/2014/main" st="{B8FF7767-AFFF-4FD0-A869-8FFCA46144D0}" end="{00000000-0000-0000-0000-000000000000}"/>
            </a:ext>
          </a:extLst>
        </xdr:cNvCxnSpPr>
      </xdr:nvCxnSpPr>
      <xdr:spPr bwMode="auto">
        <a:xfrm rot="10800000" flipH="1" flipV="1">
          <a:off x="4360380" y="11323982"/>
          <a:ext cx="1543049" cy="500269"/>
        </a:xfrm>
        <a:prstGeom prst="bentConnector3">
          <a:avLst>
            <a:gd name="adj1" fmla="val 24556"/>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persons/person.xml><?xml version="1.0" encoding="utf-8"?>
<personList xmlns="http://schemas.microsoft.com/office/spreadsheetml/2018/threadedcomments" xmlns:x="http://schemas.openxmlformats.org/spreadsheetml/2006/main">
  <person displayName="Elias Schley" id="{F6F784D1-24CC-4765-9B77-E08A5527D209}" userId="S::es@intern.stiftung-trias.org::bc0d9081-9ec8-4276-bd6a-90c6c01c1688" providerId="AD"/>
  <person displayName="Sebastian Henkel" id="{3FE61F00-CC8A-4D75-85E9-7EE6870FEBD1}" userId="S::sh@intern.stiftung-trias.org::f70684e9-94eb-455c-9457-e6e427bc29a1" providerId="AD"/>
</personList>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0" dT="2022-02-22T09:04:08.20" personId="{3FE61F00-CC8A-4D75-85E9-7EE6870FEBD1}" id="{DB169D07-96B4-4433-902C-1CCD5ED88091}">
    <text>**kalt**</text>
  </threadedComment>
  <threadedComment ref="D21" dT="2022-03-23T10:44:39.04" personId="{F6F784D1-24CC-4765-9B77-E08A5527D209}" id="{B7828A07-EDB6-4E04-978D-E49796C9DD84}">
    <text>Je nach Bundesland unterschiedlich</text>
  </threadedComment>
  <threadedComment ref="E21" dT="2022-03-23T10:46:04.08" personId="{F6F784D1-24CC-4765-9B77-E08A5527D209}" id="{A1331CFC-126E-46F7-A6DB-D143448FE5FF}">
    <text>Grunderwerbsteuer</text>
  </threadedComment>
  <threadedComment ref="H21" dT="2022-03-23T10:44:08.67" personId="{F6F784D1-24CC-4765-9B77-E08A5527D209}" id="{90E5A06C-01EE-4B74-8CBA-BDFC76841594}">
    <text>ohne Makler bei 0%</text>
  </threadedComment>
  <threadedComment ref="E25" dT="2022-04-06T19:13:28.37" personId="{3FE61F00-CC8A-4D75-85E9-7EE6870FEBD1}" id="{DEB4754C-BCCD-4E00-AC45-46A8E0CD1A07}">
    <text>Betrachtungsweise des Finanzamtes:
Ein Erbbaurecht ist wie ein Kauf mit (teilw.) gestundetem Kaufpreis -&gt; daher sind diese Werte zu versteuern (Zeile 34)</text>
  </threadedComment>
  <threadedComment ref="C30" dT="2022-04-08T09:09:33.13" personId="{3FE61F00-CC8A-4D75-85E9-7EE6870FEBD1}" id="{A3D50898-F0E1-4808-B438-4B8D89D4C56B}">
    <text xml:space="preserve">3,2% wäre unser Wunsch, um dann wieder gut junge Projekte anschieben zu können. Sollte die Finanzierungsplanung zum Zeitpunkt der ErbbauR-Vertrags-Unterzeichnung dies nicht zulässen, haben wir 3% besprochen.
</text>
  </threadedComment>
  <threadedComment ref="C42" dT="2022-02-22T09:16:14.79" personId="{3FE61F00-CC8A-4D75-85E9-7EE6870FEBD1}" id="{95AF6CEE-047E-430A-8E4A-C7C4CE7B5B37}">
    <text>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ext>
  </threadedComment>
  <threadedComment ref="A43" dT="2022-04-08T09:12:30.52" personId="{3FE61F00-CC8A-4D75-85E9-7EE6870FEBD1}" id="{AEC8A19D-FEEB-48E5-8200-4EA589C38327}">
    <text>Mit dem Stiftungsvorstand besprochen, Genehmigung der Stifterin steht aus und soll in der nächsten Verhandlungsrunde eingeholt werden.</text>
  </threadedComment>
  <threadedComment ref="C43" dT="2022-02-22T09:16:14.79" personId="{3FE61F00-CC8A-4D75-85E9-7EE6870FEBD1}" id="{C3734D01-A601-43A9-B4F7-901A5B192CF3}">
    <text>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ext>
  </threadedComment>
  <threadedComment ref="C48" dT="2022-02-22T09:20:33.86" personId="{3FE61F00-CC8A-4D75-85E9-7EE6870FEBD1}" id="{F88BBF30-BF4F-458C-839D-163DE4A499F7}">
    <text>Banken fordern idR mindestens ~20% EK(-Ersatz)</text>
  </threadedComment>
  <threadedComment ref="B52" dT="2022-02-22T09:27:08.28" personId="{3FE61F00-CC8A-4D75-85E9-7EE6870FEBD1}" id="{B75FACCD-297D-4D97-B7C1-B0843717A484}">
    <text>Den Rest der Gesamtkosten wird man über irgendeinen Kredit finanzieren - die jährliche Belastung hieraus (Zins+Tilgung) ist bei fast allen Krediten aktuell ~4%, daher hier erstmal stark vereinfacht.</text>
  </threadedComment>
  <threadedComment ref="D62" dT="2022-04-06T14:04:55.48" personId="{3FE61F00-CC8A-4D75-85E9-7EE6870FEBD1}" id="{C4CA9C92-BC5F-47AB-BFBE-BF4ED802C438}">
    <text>Erst ab Jahr 4</text>
  </threadedComment>
  <threadedComment ref="F62" dT="2022-04-06T14:05:05.68" personId="{3FE61F00-CC8A-4D75-85E9-7EE6870FEBD1}" id="{596890A4-7C42-4F2F-BF1A-0589EF5C3F4E}">
    <text>Erst ab Jahr 5</text>
  </threadedComment>
  <threadedComment ref="D64" dT="2022-02-22T09:31:35.26" personId="{3FE61F00-CC8A-4D75-85E9-7EE6870FEBD1}" id="{C73AE4AF-3BA5-4DE6-88EA-E0E26C08D758}">
    <text>Vonseiten vieler Banken werden hier einfach immer 25% angesetzt. Weniger als 15% der Kaltmiete sollte hier aber auf gar keinen Fall herauskommen.</text>
  </threadedComment>
  <threadedComment ref="D64" dT="2022-04-06T19:00:48.02" personId="{3FE61F00-CC8A-4D75-85E9-7EE6870FEBD1}" id="{8672E904-4F96-4A48-8A8B-6DDBD9136D3E}" parentId="{C73AE4AF-3BA5-4DE6-88EA-E0E26C08D758}">
    <text>Während der Bauphase noch nicht relevant, da keine Mieteinnahmen.</text>
  </threadedComment>
</ThreadedComments>
</file>

<file path=xl/threadedComments/threadedComment2.xml><?xml version="1.0" encoding="utf-8"?>
<ThreadedComments xmlns="http://schemas.microsoft.com/office/spreadsheetml/2018/threadedcomments" xmlns:x="http://schemas.openxmlformats.org/spreadsheetml/2006/main">
  <threadedComment ref="C10" dT="2022-02-22T09:04:08.20" personId="{3FE61F00-CC8A-4D75-85E9-7EE6870FEBD1}" id="{85AA26C3-0E36-41B2-BDAD-152152078735}">
    <text>**kalt**</text>
  </threadedComment>
  <threadedComment ref="D21" dT="2022-03-23T10:44:39.04" personId="{F6F784D1-24CC-4765-9B77-E08A5527D209}" id="{C4D8A9EB-DEC8-4268-BCB5-66223FF95A34}">
    <text>Je nach Bundesland unterschiedlich</text>
  </threadedComment>
  <threadedComment ref="E21" dT="2022-03-23T10:46:04.08" personId="{F6F784D1-24CC-4765-9B77-E08A5527D209}" id="{6B11006E-8934-4207-A4D2-FB5CE271AA59}">
    <text>Grunderwerbsteuer</text>
  </threadedComment>
  <threadedComment ref="H21" dT="2022-03-23T10:44:08.67" personId="{F6F784D1-24CC-4765-9B77-E08A5527D209}" id="{DED3FA9E-8386-4299-8EDB-6455D068D755}">
    <text>ohne Makler bei 0%</text>
  </threadedComment>
  <threadedComment ref="E25" dT="2022-04-06T19:13:28.37" personId="{3FE61F00-CC8A-4D75-85E9-7EE6870FEBD1}" id="{D493E626-DA00-4C0A-83BF-31D29007FB5B}">
    <text>Betrachtungsweise des Finanzamtes:
Ein Erbbaurecht ist wie ein Kauf mit (teilw.) gestundetem Kaufpreis -&gt; daher sind diese Werte zu versteuern (Zeile 34)</text>
  </threadedComment>
  <threadedComment ref="C42" dT="2022-02-22T09:16:14.79" personId="{3FE61F00-CC8A-4D75-85E9-7EE6870FEBD1}" id="{3A93A29C-C665-48A2-BD29-02F8B4E4C3C1}">
    <text>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ext>
  </threadedComment>
  <threadedComment ref="C43" dT="2022-02-22T09:16:14.79" personId="{3FE61F00-CC8A-4D75-85E9-7EE6870FEBD1}" id="{2F0BF79B-E7C4-4E1A-9305-0BCE4D8CFE6D}">
    <text>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ext>
  </threadedComment>
  <threadedComment ref="C48" dT="2022-02-22T09:20:33.86" personId="{3FE61F00-CC8A-4D75-85E9-7EE6870FEBD1}" id="{374C9027-495E-4CA2-A8B6-E9F15BA1FEF0}">
    <text>Banken fordern idR ~20% EK(-Ersatz)</text>
  </threadedComment>
  <threadedComment ref="B52" dT="2022-02-22T09:27:08.28" personId="{3FE61F00-CC8A-4D75-85E9-7EE6870FEBD1}" id="{2417FBFD-5E49-42FA-990B-AEC69603CE13}">
    <text>Den Rest der Gesamtkosten wird man über irgendeinen Kredit finanzieren - die jährliche Belastung hieraus (Zins+Tilgung) ist bei fast allen Krediten aktuell ~4%, daher hier erstmal stark vereinfacht.</text>
  </threadedComment>
  <threadedComment ref="B61" dT="2022-04-06T20:14:21.15" personId="{3FE61F00-CC8A-4D75-85E9-7EE6870FEBD1}" id="{EDADB56B-FCC7-46A1-A4C9-0CB383C4FCD1}">
    <text>9,- € zu optimistisch</text>
  </threadedComment>
  <threadedComment ref="D64" dT="2022-02-22T09:31:35.26" personId="{3FE61F00-CC8A-4D75-85E9-7EE6870FEBD1}" id="{0A090BDE-919E-43C4-B834-BD1D1F99D4F7}">
    <text>Vonseiten vielen Banken werden hier einfach immer 25% angesetzt. Weniger als 15% der Kaltmiete sollte hier aber auf gar keinen Fall herauskommen.</text>
  </threadedComment>
</ThreadedComments>
</file>

<file path=xl/threadedComments/threadedComment3.xml><?xml version="1.0" encoding="utf-8"?>
<ThreadedComments xmlns="http://schemas.microsoft.com/office/spreadsheetml/2018/threadedcomments" xmlns:x="http://schemas.openxmlformats.org/spreadsheetml/2006/main">
  <threadedComment ref="C10" dT="2022-02-22T09:04:08.20" personId="{3FE61F00-CC8A-4D75-85E9-7EE6870FEBD1}" id="{2CFB1D3D-5FF3-4D0F-A655-73BCE054D7A6}">
    <text>**kalt**</text>
  </threadedComment>
  <threadedComment ref="D21" dT="2022-03-23T10:44:39.04" personId="{F6F784D1-24CC-4765-9B77-E08A5527D209}" id="{B4F65A23-E9D4-4551-972E-AB9A56C06F65}">
    <text>Je nach Bundesland unterschiedlich</text>
  </threadedComment>
  <threadedComment ref="E21" dT="2022-03-23T10:46:04.08" personId="{F6F784D1-24CC-4765-9B77-E08A5527D209}" id="{92C7FC98-761B-45AB-BADB-3BF4C802EBAC}">
    <text>Grunderwerbsteuer</text>
  </threadedComment>
  <threadedComment ref="H21" dT="2022-03-23T10:44:08.67" personId="{F6F784D1-24CC-4765-9B77-E08A5527D209}" id="{DED3FA9E-8386-429A-8EDB-6455D068D755}">
    <text>ohne Makler bei 0%</text>
  </threadedComment>
  <threadedComment ref="E25" dT="2022-04-06T19:13:28.37" personId="{3FE61F00-CC8A-4D75-85E9-7EE6870FEBD1}" id="{F6974D65-B935-4140-9536-155762B89040}">
    <text>Betrachtungsweise des Finanzamtes:
Ein Erbbaurecht ist wie ein Kauf mit (teilw.) gestundetem Kaufpreis -&gt; daher sind diese Werte zu versteuern (Zeile 34)</text>
  </threadedComment>
  <threadedComment ref="C42" dT="2022-02-22T09:16:14.79" personId="{3FE61F00-CC8A-4D75-85E9-7EE6870FEBD1}" id="{A56DC7D2-8EBF-4D8C-8C53-13957A25610F}">
    <text>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ext>
  </threadedComment>
  <threadedComment ref="C43" dT="2022-02-22T09:16:14.79" personId="{3FE61F00-CC8A-4D75-85E9-7EE6870FEBD1}" id="{E93AD0B8-3BED-4094-85EB-E4C7073EBCB6}">
    <text>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ext>
  </threadedComment>
  <threadedComment ref="C48" dT="2022-02-22T09:20:33.86" personId="{3FE61F00-CC8A-4D75-85E9-7EE6870FEBD1}" id="{29433645-08E4-4A81-AF1C-C4189D9633A4}">
    <text>Banken fordern idR ~20% EK(-Ersatz)</text>
  </threadedComment>
  <threadedComment ref="B52" dT="2022-02-22T09:27:08.28" personId="{3FE61F00-CC8A-4D75-85E9-7EE6870FEBD1}" id="{CB3DB165-F698-497D-AE3E-982FDEE70F45}">
    <text>Den Rest der Gesamtkosten wird man über irgendeinen Kredit finanzieren - die jährliche Belastung hieraus (Zins+Tilgung) ist bei fast allen Krediten aktuell ~4%, daher hier erstmal stark vereinfacht.</text>
  </threadedComment>
  <threadedComment ref="B61" dT="2022-04-06T20:14:21.15" personId="{3FE61F00-CC8A-4D75-85E9-7EE6870FEBD1}" id="{9DAA7647-D1D8-40B1-AA94-3C5F473520F8}">
    <text>9,- € zu optimistisch</text>
  </threadedComment>
  <threadedComment ref="D64" dT="2022-02-22T09:31:35.26" personId="{3FE61F00-CC8A-4D75-85E9-7EE6870FEBD1}" id="{DB60F06A-2F0A-4099-BF51-B22F413575AC}">
    <text>Vonseiten vielen Banken werden hier einfach immer 25% angesetzt. Weniger als 15% der Kaltmiete sollte hier aber auf gar keinen Fall herauskommen.</text>
  </threadedComment>
</ThreadedComments>
</file>

<file path=xl/threadedComments/threadedComment4.xml><?xml version="1.0" encoding="utf-8"?>
<ThreadedComments xmlns="http://schemas.microsoft.com/office/spreadsheetml/2018/threadedcomments" xmlns:x="http://schemas.openxmlformats.org/spreadsheetml/2006/main">
  <threadedComment ref="C10" dT="2022-02-22T09:04:08.20" personId="{3FE61F00-CC8A-4D75-85E9-7EE6870FEBD1}" id="{029782CC-FBBD-4AE1-87E7-D3C5E0E4E9DA}">
    <text>**kalt**</text>
  </threadedComment>
  <threadedComment ref="D21" dT="2022-03-23T10:44:39.04" personId="{F6F784D1-24CC-4765-9B77-E08A5527D209}" id="{1521472E-F27B-43B1-9A87-D0544A5C2647}">
    <text>Je nach Bundesland unterschiedlich</text>
  </threadedComment>
  <threadedComment ref="E21" dT="2022-03-23T10:46:04.08" personId="{F6F784D1-24CC-4765-9B77-E08A5527D209}" id="{9CFFD80C-DC3F-4470-9654-3B867FB23393}">
    <text>Grunderwerbsteuer</text>
  </threadedComment>
  <threadedComment ref="H21" dT="2022-03-23T10:44:08.67" personId="{F6F784D1-24CC-4765-9B77-E08A5527D209}" id="{DED3FA9E-8386-429B-8EDB-6455D068D755}">
    <text>ohne Makler bei 0%</text>
  </threadedComment>
  <threadedComment ref="E25" dT="2022-04-06T19:13:28.37" personId="{3FE61F00-CC8A-4D75-85E9-7EE6870FEBD1}" id="{9349FB8C-4D1D-4D2F-9138-6B404438E47D}">
    <text>Betrachtungsweise des Finanzamtes:
Ein Erbbaurecht ist wie ein Kauf mit (teilw.) gestundetem Kaufpreis -&gt; daher sind diese Werte zu versteuern (Zeile 34)</text>
  </threadedComment>
  <threadedComment ref="C42" dT="2022-02-22T09:16:14.79" personId="{3FE61F00-CC8A-4D75-85E9-7EE6870FEBD1}" id="{C3388F65-B109-4F15-B596-0981FAC952C8}">
    <text>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ext>
  </threadedComment>
  <threadedComment ref="C48" dT="2022-02-22T09:20:33.86" personId="{3FE61F00-CC8A-4D75-85E9-7EE6870FEBD1}" id="{DA08C30E-E82E-4166-BB01-1DC8F7B2BE10}">
    <text>Banken fordern idR ~20% EK(-Ersatz)</text>
  </threadedComment>
  <threadedComment ref="B52" dT="2022-02-22T09:27:08.28" personId="{3FE61F00-CC8A-4D75-85E9-7EE6870FEBD1}" id="{CD045FDE-F529-473B-AAEC-E3C43EB2ABA3}">
    <text>Den Rest der Gesamtkosten wird man über irgendeinen Kredit finanzieren - die jährliche Belastung hieraus (Zins+Tilgung) ist bei fast allen Krediten aktuell ~4%, daher hier erstmal stark vereinfacht.</text>
  </threadedComment>
  <threadedComment ref="B61" dT="2022-04-06T20:14:21.15" personId="{3FE61F00-CC8A-4D75-85E9-7EE6870FEBD1}" id="{DD378467-319D-4F27-BE7E-787CB5541813}">
    <text>9,- € zu optimistisch</text>
  </threadedComment>
  <threadedComment ref="D64" dT="2022-02-22T09:31:35.26" personId="{3FE61F00-CC8A-4D75-85E9-7EE6870FEBD1}" id="{394C7846-1883-47EA-90E4-254CFFAC2E81}">
    <text>Vonseiten vielen Banken werden hier einfach immer 25% angesetzt. Weniger als 15% der Kaltmiete sollte hier aber auf gar keinen Fall herauskommen.</text>
  </threadedComment>
</ThreadedComments>
</file>

<file path=xl/threadedComments/threadedComment5.xml><?xml version="1.0" encoding="utf-8"?>
<ThreadedComments xmlns="http://schemas.microsoft.com/office/spreadsheetml/2018/threadedcomments" xmlns:x="http://schemas.openxmlformats.org/spreadsheetml/2006/main">
  <threadedComment ref="C10" dT="2022-02-22T09:04:08.20" personId="{3FE61F00-CC8A-4D75-85E9-7EE6870FEBD1}" id="{1BC8F620-9E9E-471C-A5DF-70284F7152E0}">
    <text>**kalt**</text>
  </threadedComment>
  <threadedComment ref="D21" dT="2022-03-23T10:44:39.04" personId="{F6F784D1-24CC-4765-9B77-E08A5527D209}" id="{9E8430E7-C761-4033-8E10-205982F80255}">
    <text>Je nach Bundesland unterschiedlich</text>
  </threadedComment>
  <threadedComment ref="E21" dT="2022-03-23T10:46:04.08" personId="{F6F784D1-24CC-4765-9B77-E08A5527D209}" id="{02348CC4-13CD-4D40-BEF6-5766B09C2061}">
    <text>Grunderwerbsteuer</text>
  </threadedComment>
  <threadedComment ref="H21" dT="2022-03-23T10:44:08.67" personId="{F6F784D1-24CC-4765-9B77-E08A5527D209}" id="{63005EB1-6CC3-41E4-AD5D-3D96B5F1C79C}">
    <text>ohne Makler bei 0%</text>
  </threadedComment>
  <threadedComment ref="E25" dT="2022-04-06T19:13:28.37" personId="{3FE61F00-CC8A-4D75-85E9-7EE6870FEBD1}" id="{C684FB16-EBCE-47EA-B0A9-089C4D4D0215}">
    <text>Betrachtungsweise des Finanzamtes:
Ein Erbbaurecht ist wie ein Kauf mit (teilw.) gestundetem Kaufpreis -&gt; daher sind diese Werte zu versteuern (Zeile 34)</text>
  </threadedComment>
  <threadedComment ref="C42" dT="2022-02-22T09:16:14.79" personId="{3FE61F00-CC8A-4D75-85E9-7EE6870FEBD1}" id="{96C67687-4C52-4014-A1DF-A4A0EAA5D91A}">
    <text>Kann aus dem Umfeld der Initiative kommen, steuerlich aktivierbare Schenkung in Stiftungsvermögen
(kann auf bis zu 10 Jahre in der Zukunft von Stiftenden gestreckt in der Steuererklärung geltend gemacht werden)
Aus Sicht der Stiftung trias wird dieser Betrag für die eigene Finanzierung (quasi als Eigenkapital) benötigt.</text>
  </threadedComment>
  <threadedComment ref="C48" dT="2022-02-22T09:20:33.86" personId="{3FE61F00-CC8A-4D75-85E9-7EE6870FEBD1}" id="{66005FFF-F112-43E1-81B5-1DAB91A6B634}">
    <text>Banken fordern idR ~20% EK(-Ersatz)</text>
  </threadedComment>
  <threadedComment ref="B52" dT="2022-02-22T09:27:08.28" personId="{3FE61F00-CC8A-4D75-85E9-7EE6870FEBD1}" id="{771BD0F8-81B9-4EA5-B86C-E6F6B092FF0E}">
    <text>Den Rest der Gesamtkosten wird man über irgendeinen Kredit finanzieren - die jährliche Belastung hieraus (Zins+Tilgung) ist bei fast allen Krediten aktuell ~4%, daher hier erstmal stark vereinfacht.</text>
  </threadedComment>
  <threadedComment ref="B61" dT="2022-04-06T20:14:21.15" personId="{3FE61F00-CC8A-4D75-85E9-7EE6870FEBD1}" id="{C8A0158D-7695-4EC6-AA59-2F4777BA9298}">
    <text>9,- € zu optimistisch</text>
  </threadedComment>
  <threadedComment ref="D64" dT="2022-02-22T09:31:35.26" personId="{3FE61F00-CC8A-4D75-85E9-7EE6870FEBD1}" id="{E2F10121-933C-4F94-93D9-F431ADC82CFB}">
    <text>Vonseiten vielen Banken werden hier einfach immer 25% angesetzt. Weniger als 15% der Kaltmiete sollte hier aber auf gar keinen Fall herauskommen.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18"/>
  <sheetViews>
    <sheetView tabSelected="1" showOutlineSymbols="0" topLeftCell="A28" zoomScale="109" zoomScaleNormal="100" zoomScalePageLayoutView="80" workbookViewId="0">
      <selection activeCell="B38" sqref="B38"/>
    </sheetView>
  </sheetViews>
  <sheetFormatPr baseColWidth="10" defaultColWidth="9.5703125" defaultRowHeight="14" x14ac:dyDescent="0.15"/>
  <cols>
    <col min="1" max="1" width="31.5703125" style="4" customWidth="1"/>
    <col min="2" max="2" width="17.140625" style="4" customWidth="1"/>
    <col min="3" max="3" width="14.42578125" style="4" customWidth="1"/>
    <col min="4" max="4" width="16.5703125" style="4" customWidth="1"/>
    <col min="5" max="5" width="18.42578125" style="4" customWidth="1"/>
    <col min="6" max="6" width="16.42578125" style="4" customWidth="1"/>
    <col min="7" max="7" width="14.5703125" style="4" customWidth="1"/>
    <col min="8" max="8" width="10.5703125" style="4" customWidth="1"/>
    <col min="9" max="9" width="26.5703125" style="4" customWidth="1"/>
    <col min="10" max="10" width="13.5703125" style="4" customWidth="1"/>
    <col min="11" max="16384" width="9.5703125" style="4"/>
  </cols>
  <sheetData>
    <row r="1" spans="1:256" ht="18" customHeight="1" x14ac:dyDescent="0.15">
      <c r="A1" s="1" t="s">
        <v>0</v>
      </c>
      <c r="B1" s="2"/>
      <c r="C1" s="2"/>
      <c r="D1" s="2"/>
      <c r="E1" s="2"/>
      <c r="F1" s="2"/>
      <c r="G1" s="2"/>
      <c r="H1" s="2"/>
      <c r="I1" s="2"/>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18" customHeight="1" x14ac:dyDescent="0.15">
      <c r="E2" s="5"/>
    </row>
    <row r="3" spans="1:256" ht="18" customHeight="1" x14ac:dyDescent="0.15">
      <c r="A3" s="5" t="s">
        <v>1</v>
      </c>
      <c r="B3" s="4" t="s">
        <v>117</v>
      </c>
      <c r="E3" s="5" t="s">
        <v>2</v>
      </c>
      <c r="G3" s="6" t="s">
        <v>3</v>
      </c>
      <c r="H3" s="6"/>
      <c r="I3" s="6"/>
    </row>
    <row r="4" spans="1:256" ht="18" customHeight="1" x14ac:dyDescent="0.15">
      <c r="A4" s="5" t="s">
        <v>4</v>
      </c>
      <c r="B4" s="195" t="s">
        <v>5</v>
      </c>
      <c r="C4" s="194">
        <f>B20</f>
        <v>1300000</v>
      </c>
      <c r="D4" s="193" t="s">
        <v>6</v>
      </c>
      <c r="G4" s="7"/>
      <c r="H4" s="7"/>
      <c r="I4" s="7"/>
    </row>
    <row r="5" spans="1:256" ht="18" customHeight="1" thickBot="1" x14ac:dyDescent="0.2"/>
    <row r="6" spans="1:256" ht="18" customHeight="1" thickBot="1" x14ac:dyDescent="0.2">
      <c r="A6" s="8" t="s">
        <v>7</v>
      </c>
      <c r="B6" s="9" t="s">
        <v>8</v>
      </c>
      <c r="C6" s="10" t="s">
        <v>9</v>
      </c>
      <c r="D6" s="11"/>
      <c r="E6" s="12" t="s">
        <v>10</v>
      </c>
      <c r="G6" s="13" t="s">
        <v>11</v>
      </c>
      <c r="H6" s="14"/>
    </row>
    <row r="7" spans="1:256" ht="18" customHeight="1" x14ac:dyDescent="0.15">
      <c r="A7" s="15" t="s">
        <v>12</v>
      </c>
      <c r="B7" s="104">
        <v>200</v>
      </c>
      <c r="C7" s="97">
        <v>6500</v>
      </c>
      <c r="D7" s="16" t="s">
        <v>13</v>
      </c>
      <c r="E7" s="103">
        <f>ROUNDUP(B7*C7,-4)</f>
        <v>1300000</v>
      </c>
    </row>
    <row r="8" spans="1:256" ht="18" customHeight="1" x14ac:dyDescent="0.15">
      <c r="A8" s="4" t="s">
        <v>14</v>
      </c>
      <c r="B8" s="161">
        <v>3</v>
      </c>
      <c r="C8" s="19"/>
      <c r="D8" s="23"/>
      <c r="F8" s="21" t="s">
        <v>15</v>
      </c>
    </row>
    <row r="9" spans="1:256" ht="18" hidden="1" customHeight="1" x14ac:dyDescent="0.15">
      <c r="A9" s="4" t="s">
        <v>16</v>
      </c>
      <c r="B9" s="18"/>
      <c r="C9" s="22"/>
      <c r="D9" s="91"/>
      <c r="F9" s="24" t="s">
        <v>17</v>
      </c>
      <c r="G9" s="11"/>
    </row>
    <row r="10" spans="1:256" ht="18" customHeight="1" thickBot="1" x14ac:dyDescent="0.2">
      <c r="A10" s="25" t="s">
        <v>18</v>
      </c>
      <c r="B10" s="95">
        <v>320</v>
      </c>
      <c r="C10" s="102">
        <v>0</v>
      </c>
      <c r="D10" s="100">
        <f>B10*C10</f>
        <v>0</v>
      </c>
      <c r="E10" s="23" t="s">
        <v>19</v>
      </c>
      <c r="F10" s="98">
        <f>D10*12</f>
        <v>0</v>
      </c>
      <c r="G10" s="20"/>
    </row>
    <row r="11" spans="1:256" ht="18" hidden="1" customHeight="1" x14ac:dyDescent="0.15">
      <c r="A11" s="25" t="s">
        <v>20</v>
      </c>
      <c r="B11" s="95"/>
      <c r="C11" s="102">
        <v>12</v>
      </c>
      <c r="D11" s="100">
        <f>B11*C11</f>
        <v>0</v>
      </c>
      <c r="E11" s="23" t="s">
        <v>19</v>
      </c>
      <c r="F11" s="98">
        <f>D11*12</f>
        <v>0</v>
      </c>
      <c r="G11" s="20"/>
    </row>
    <row r="12" spans="1:256" ht="18" hidden="1" customHeight="1" x14ac:dyDescent="0.15">
      <c r="A12" s="25" t="s">
        <v>21</v>
      </c>
      <c r="B12" s="95"/>
      <c r="C12" s="102">
        <v>6</v>
      </c>
      <c r="D12" s="100">
        <f t="shared" ref="D12:D14" si="0">B12*C12</f>
        <v>0</v>
      </c>
      <c r="E12" s="23" t="s">
        <v>19</v>
      </c>
      <c r="F12" s="98">
        <f t="shared" ref="F12:F14" si="1">D12*12</f>
        <v>0</v>
      </c>
      <c r="G12" s="20"/>
    </row>
    <row r="13" spans="1:256" ht="18" hidden="1" customHeight="1" x14ac:dyDescent="0.15">
      <c r="A13" s="25" t="s">
        <v>22</v>
      </c>
      <c r="B13" s="95"/>
      <c r="C13" s="102">
        <v>3.5</v>
      </c>
      <c r="D13" s="100">
        <f t="shared" si="0"/>
        <v>0</v>
      </c>
      <c r="E13" s="23" t="s">
        <v>19</v>
      </c>
      <c r="F13" s="98">
        <f t="shared" si="1"/>
        <v>0</v>
      </c>
      <c r="G13" s="20"/>
    </row>
    <row r="14" spans="1:256" ht="18" hidden="1" customHeight="1" x14ac:dyDescent="0.15">
      <c r="A14" s="25" t="s">
        <v>23</v>
      </c>
      <c r="B14" s="95"/>
      <c r="C14" s="102">
        <v>3.5</v>
      </c>
      <c r="D14" s="100">
        <f t="shared" si="0"/>
        <v>0</v>
      </c>
      <c r="E14" s="23" t="s">
        <v>19</v>
      </c>
      <c r="F14" s="98">
        <f t="shared" si="1"/>
        <v>0</v>
      </c>
      <c r="G14" s="20"/>
    </row>
    <row r="15" spans="1:256" ht="18" hidden="1" customHeight="1" x14ac:dyDescent="0.15">
      <c r="A15" s="25"/>
      <c r="B15" s="95"/>
      <c r="C15" s="102"/>
      <c r="D15" s="100">
        <f>B15*C15</f>
        <v>0</v>
      </c>
      <c r="E15" s="23" t="s">
        <v>19</v>
      </c>
      <c r="F15" s="98">
        <f>D15*12</f>
        <v>0</v>
      </c>
      <c r="G15" s="20"/>
    </row>
    <row r="16" spans="1:256" ht="18" hidden="1" customHeight="1" thickBot="1" x14ac:dyDescent="0.2">
      <c r="A16" s="25" t="s">
        <v>24</v>
      </c>
      <c r="B16" s="95"/>
      <c r="C16" s="102"/>
      <c r="D16" s="100">
        <f>B16*C16</f>
        <v>0</v>
      </c>
      <c r="E16" s="23" t="s">
        <v>19</v>
      </c>
      <c r="F16" s="98">
        <f>D16*12</f>
        <v>0</v>
      </c>
      <c r="G16" s="20"/>
    </row>
    <row r="17" spans="1:9" ht="18" customHeight="1" thickBot="1" x14ac:dyDescent="0.2">
      <c r="A17" s="26" t="s">
        <v>25</v>
      </c>
      <c r="B17" s="96">
        <f>SUM(B10:B16)</f>
        <v>320</v>
      </c>
      <c r="C17" s="97"/>
      <c r="D17" s="101">
        <f>SUM(D10:D16)</f>
        <v>0</v>
      </c>
      <c r="E17" s="27" t="s">
        <v>19</v>
      </c>
      <c r="F17" s="99">
        <f>SUM(F10:F16)</f>
        <v>0</v>
      </c>
      <c r="G17" s="11"/>
    </row>
    <row r="18" spans="1:9" ht="18" customHeight="1" thickBot="1" x14ac:dyDescent="0.2"/>
    <row r="19" spans="1:9" ht="18" customHeight="1" thickBot="1" x14ac:dyDescent="0.2">
      <c r="A19" s="28" t="s">
        <v>26</v>
      </c>
      <c r="B19" s="29" t="s">
        <v>15</v>
      </c>
      <c r="C19" s="138" t="s">
        <v>27</v>
      </c>
      <c r="D19" s="30"/>
      <c r="E19" s="30"/>
      <c r="F19" s="30"/>
      <c r="G19" s="30"/>
      <c r="H19" s="30"/>
      <c r="I19" s="30"/>
    </row>
    <row r="20" spans="1:9" ht="18" customHeight="1" thickBot="1" x14ac:dyDescent="0.2">
      <c r="A20" s="30" t="s">
        <v>28</v>
      </c>
      <c r="B20" s="196">
        <f>E7</f>
        <v>1300000</v>
      </c>
      <c r="C20" s="137"/>
      <c r="D20" s="33" t="s">
        <v>29</v>
      </c>
      <c r="E20" s="33"/>
      <c r="F20" s="33"/>
      <c r="G20" s="33"/>
      <c r="H20" s="33"/>
      <c r="I20" s="30"/>
    </row>
    <row r="21" spans="1:9" ht="18" customHeight="1" thickBot="1" x14ac:dyDescent="0.2">
      <c r="A21" s="30" t="s">
        <v>30</v>
      </c>
      <c r="B21" s="103">
        <f>ROUNDUP(B20*(D21+F21+H21),-4)</f>
        <v>120000</v>
      </c>
      <c r="C21" s="86">
        <f>D21+F21+H21</f>
        <v>9.0700000000000003E-2</v>
      </c>
      <c r="D21" s="35">
        <v>3.5000000000000003E-2</v>
      </c>
      <c r="E21" s="33" t="s">
        <v>31</v>
      </c>
      <c r="F21" s="36">
        <v>0.02</v>
      </c>
      <c r="G21" s="33" t="s">
        <v>32</v>
      </c>
      <c r="H21" s="36">
        <v>3.5700000000000003E-2</v>
      </c>
      <c r="I21" s="33" t="s">
        <v>33</v>
      </c>
    </row>
    <row r="22" spans="1:9" ht="18" customHeight="1" thickBot="1" x14ac:dyDescent="0.2">
      <c r="A22" s="30" t="s">
        <v>34</v>
      </c>
      <c r="B22" s="164">
        <f>ROUNDUP(SUM(B20:B21),-3)</f>
        <v>1420000</v>
      </c>
      <c r="C22" s="135"/>
      <c r="D22" s="37"/>
      <c r="E22" s="30"/>
      <c r="F22" s="37"/>
      <c r="G22" s="30"/>
      <c r="H22" s="37"/>
      <c r="I22" s="30"/>
    </row>
    <row r="23" spans="1:9" ht="18" customHeight="1" thickBot="1" x14ac:dyDescent="0.2">
      <c r="A23" s="134" t="s">
        <v>35</v>
      </c>
      <c r="B23" s="197">
        <f>B22-B33</f>
        <v>790000</v>
      </c>
      <c r="C23" s="136"/>
      <c r="D23" s="40"/>
      <c r="E23" s="37"/>
      <c r="F23" s="30"/>
      <c r="G23" s="30"/>
      <c r="H23" s="37"/>
      <c r="I23" s="30"/>
    </row>
    <row r="24" spans="1:9" s="41" customFormat="1" ht="18" customHeight="1" thickBot="1" x14ac:dyDescent="0.2">
      <c r="B24" s="42"/>
      <c r="C24" s="43"/>
      <c r="D24" s="44"/>
      <c r="E24" s="45"/>
      <c r="F24" s="45"/>
      <c r="H24" s="46"/>
    </row>
    <row r="25" spans="1:9" s="41" customFormat="1" ht="18" customHeight="1" thickBot="1" x14ac:dyDescent="0.3">
      <c r="A25" s="145" t="s">
        <v>36</v>
      </c>
      <c r="B25" s="146" t="s">
        <v>37</v>
      </c>
      <c r="C25" s="144" t="s">
        <v>27</v>
      </c>
      <c r="D25" s="143" t="s">
        <v>38</v>
      </c>
      <c r="E25" s="128" t="s">
        <v>39</v>
      </c>
      <c r="F25" s="120" t="s">
        <v>40</v>
      </c>
      <c r="G25" s="121"/>
      <c r="H25" s="122"/>
      <c r="I25" s="121"/>
    </row>
    <row r="26" spans="1:9" s="41" customFormat="1" ht="18" customHeight="1" x14ac:dyDescent="0.15">
      <c r="A26" s="149" t="s">
        <v>41</v>
      </c>
      <c r="B26" s="150">
        <v>3</v>
      </c>
      <c r="C26" s="151">
        <v>2.9000000000000001E-2</v>
      </c>
      <c r="D26" s="152">
        <f>MAX(1000,C26*$B$23)</f>
        <v>22910</v>
      </c>
      <c r="E26" s="127">
        <f>(((1*(((1+0.045)^B26-1)/(0.045)))/(1+0.045)^B26)-((1*(((1+0.045)^0-1)/(0.045)))/(1+0.045)^0))*D26</f>
        <v>62978.773357822836</v>
      </c>
      <c r="F26" s="130" t="s">
        <v>25</v>
      </c>
      <c r="G26" s="121"/>
      <c r="H26" s="122"/>
      <c r="I26" s="121"/>
    </row>
    <row r="27" spans="1:9" s="41" customFormat="1" ht="18" customHeight="1" x14ac:dyDescent="0.15">
      <c r="A27" s="123" t="s">
        <v>42</v>
      </c>
      <c r="B27" s="124">
        <v>7</v>
      </c>
      <c r="C27" s="125">
        <v>3.9E-2</v>
      </c>
      <c r="D27" s="126">
        <f>MAX(1000,C27*$B$23)</f>
        <v>30810</v>
      </c>
      <c r="E27" s="127">
        <f>(((1*(((1+0.045)^SUM(B$26:B27)-1)/(0.045)))/(1+0.045)^SUM(B$26:B27))-((1*(((1+0.045)^B26-1)/(0.045)))/(1+0.045)^B26))*D27</f>
        <v>159095.25527969163</v>
      </c>
      <c r="F27" s="132">
        <f>SUM(E26:E30)</f>
        <v>740683.1364807263</v>
      </c>
      <c r="G27" s="121"/>
      <c r="H27" s="122"/>
      <c r="I27" s="121"/>
    </row>
    <row r="28" spans="1:9" s="41" customFormat="1" ht="18" customHeight="1" x14ac:dyDescent="0.15">
      <c r="A28" s="123" t="s">
        <v>43</v>
      </c>
      <c r="B28" s="124">
        <v>10</v>
      </c>
      <c r="C28" s="125">
        <v>4.2000000000000003E-2</v>
      </c>
      <c r="D28" s="126">
        <f t="shared" ref="D28:D30" si="2">MAX(1000,C28*$B$23)</f>
        <v>33180</v>
      </c>
      <c r="E28" s="127">
        <f>(((1*(((1+0.045)^SUM(B$26:B28)-1)/(0.045)))/(1+0.045)^SUM(B$26:B28))-((1*(((1+0.045)^SUM(B$26:B27)-1)/(0.045)))/(1+0.045)^SUM(B$26:B27)))*D28</f>
        <v>169059.34234271824</v>
      </c>
      <c r="F28" s="131" t="s">
        <v>44</v>
      </c>
      <c r="G28" s="121"/>
      <c r="H28" s="122"/>
      <c r="I28" s="121"/>
    </row>
    <row r="29" spans="1:9" s="41" customFormat="1" ht="18" customHeight="1" x14ac:dyDescent="0.15">
      <c r="A29" s="123" t="s">
        <v>45</v>
      </c>
      <c r="B29" s="124">
        <v>13</v>
      </c>
      <c r="C29" s="125">
        <v>4.9000000000000002E-2</v>
      </c>
      <c r="D29" s="126">
        <f t="shared" si="2"/>
        <v>38710</v>
      </c>
      <c r="E29" s="127">
        <f>(((1*(((1+0.045)^SUM(B$26:B29)-1)/(0.045)))/(1+0.045)^SUM(B$26:B29))-((1*(((1+0.045)^SUM(B$26:B28)-1)/(0.045)))/(1+0.045)^SUM(B$26:B28)))*D29</f>
        <v>155417.77067552376</v>
      </c>
      <c r="F29" s="129">
        <f>F30/B23</f>
        <v>5.0407182283974838E-2</v>
      </c>
      <c r="G29" s="121"/>
      <c r="H29" s="122"/>
      <c r="I29" s="121"/>
    </row>
    <row r="30" spans="1:9" s="41" customFormat="1" ht="18" customHeight="1" x14ac:dyDescent="0.15">
      <c r="A30" s="123" t="s">
        <v>46</v>
      </c>
      <c r="B30" s="124" t="s">
        <v>47</v>
      </c>
      <c r="C30" s="125">
        <v>0.05</v>
      </c>
      <c r="D30" s="126">
        <f t="shared" si="2"/>
        <v>39500</v>
      </c>
      <c r="E30" s="127">
        <f>(((1*(((1+0.045)^99-1)/(0.045)))/(1+0.045)^99)-((1*(((1+0.045)^SUM(B$26:B29)-1)/(0.045)))/(1+0.045)^SUM(B$26:B29)))*D30</f>
        <v>194131.99482496973</v>
      </c>
      <c r="F30" s="133">
        <f>SUM(E26:E30)/18.6</f>
        <v>39821.674004340122</v>
      </c>
      <c r="G30" s="121"/>
      <c r="H30" s="122"/>
      <c r="I30" s="121"/>
    </row>
    <row r="31" spans="1:9" s="41" customFormat="1" ht="18" customHeight="1" thickBot="1" x14ac:dyDescent="0.2">
      <c r="B31" s="42"/>
      <c r="C31" s="43">
        <f>((B26*C26)+(B27*C27)+(B28*C28)+(B29*C29))/34</f>
        <v>4.1676470588235294E-2</v>
      </c>
      <c r="D31" s="44"/>
      <c r="E31" s="45"/>
      <c r="F31" s="45"/>
      <c r="H31" s="46"/>
    </row>
    <row r="32" spans="1:9" ht="18" customHeight="1" thickBot="1" x14ac:dyDescent="0.2">
      <c r="A32" s="47" t="s">
        <v>48</v>
      </c>
      <c r="B32" s="90" t="s">
        <v>15</v>
      </c>
      <c r="C32" s="89" t="s">
        <v>27</v>
      </c>
      <c r="D32" s="6"/>
      <c r="E32" s="6"/>
      <c r="F32" s="6"/>
      <c r="G32" s="6"/>
      <c r="H32" s="48"/>
      <c r="I32" s="6"/>
    </row>
    <row r="33" spans="1:9" ht="18" customHeight="1" thickBot="1" x14ac:dyDescent="0.2">
      <c r="A33" s="6" t="s">
        <v>49</v>
      </c>
      <c r="B33" s="93">
        <v>630000</v>
      </c>
      <c r="C33" s="50"/>
      <c r="D33" s="48" t="s">
        <v>50</v>
      </c>
      <c r="E33" s="6"/>
      <c r="F33" s="48"/>
      <c r="G33" s="6"/>
      <c r="H33" s="48"/>
      <c r="I33" s="6"/>
    </row>
    <row r="34" spans="1:9" ht="18" customHeight="1" thickBot="1" x14ac:dyDescent="0.2">
      <c r="A34" s="6" t="s">
        <v>51</v>
      </c>
      <c r="B34" s="112">
        <f>ROUNDUP(B33*(D34+F34+H34)+SUM(E26:E30)*D34,-3)</f>
        <v>61000</v>
      </c>
      <c r="C34" s="51">
        <f>D34+F34+H34</f>
        <v>5.5000000000000007E-2</v>
      </c>
      <c r="D34" s="52">
        <f>D21</f>
        <v>3.5000000000000003E-2</v>
      </c>
      <c r="E34" s="6" t="s">
        <v>52</v>
      </c>
      <c r="F34" s="53">
        <v>0.02</v>
      </c>
      <c r="G34" s="6" t="s">
        <v>32</v>
      </c>
      <c r="H34" s="53">
        <v>0</v>
      </c>
      <c r="I34" s="6" t="s">
        <v>33</v>
      </c>
    </row>
    <row r="35" spans="1:9" ht="18" hidden="1" customHeight="1" x14ac:dyDescent="0.15">
      <c r="A35" s="6"/>
      <c r="B35" s="113"/>
      <c r="C35" s="50"/>
      <c r="D35" s="48"/>
      <c r="E35" s="6"/>
      <c r="F35" s="48"/>
      <c r="G35" s="6"/>
      <c r="H35" s="48"/>
      <c r="I35" s="6"/>
    </row>
    <row r="36" spans="1:9" ht="18" customHeight="1" x14ac:dyDescent="0.15">
      <c r="A36" s="6" t="s">
        <v>53</v>
      </c>
      <c r="B36" s="113">
        <v>850000</v>
      </c>
      <c r="C36" s="54"/>
      <c r="D36" s="6" t="s">
        <v>54</v>
      </c>
      <c r="E36" s="6"/>
      <c r="F36" s="6"/>
      <c r="G36" s="6"/>
      <c r="H36" s="6"/>
      <c r="I36" s="6"/>
    </row>
    <row r="37" spans="1:9" ht="18" customHeight="1" x14ac:dyDescent="0.15">
      <c r="A37" s="6" t="s">
        <v>55</v>
      </c>
      <c r="B37" s="201">
        <v>55000</v>
      </c>
      <c r="C37" s="50"/>
      <c r="D37" s="6" t="s">
        <v>56</v>
      </c>
      <c r="E37" s="6"/>
      <c r="F37" s="6"/>
      <c r="G37" s="6"/>
      <c r="H37" s="6"/>
      <c r="I37" s="6"/>
    </row>
    <row r="38" spans="1:9" ht="18" customHeight="1" thickBot="1" x14ac:dyDescent="0.2">
      <c r="A38" s="6" t="s">
        <v>57</v>
      </c>
      <c r="B38" s="114">
        <f>ROUNDUP(SUM(B33:B37),-4)-SUM(B33:B37)</f>
        <v>4000</v>
      </c>
      <c r="C38" s="55"/>
      <c r="D38" s="6" t="s">
        <v>58</v>
      </c>
      <c r="E38" s="6"/>
      <c r="F38" s="6"/>
      <c r="G38" s="6"/>
      <c r="H38" s="6"/>
      <c r="I38" s="6"/>
    </row>
    <row r="39" spans="1:9" ht="18" customHeight="1" thickBot="1" x14ac:dyDescent="0.2">
      <c r="A39" s="56" t="s">
        <v>59</v>
      </c>
      <c r="B39" s="163">
        <f>SUM(B33:B38)</f>
        <v>1600000</v>
      </c>
      <c r="C39" s="6"/>
      <c r="D39" s="6"/>
      <c r="E39" s="6"/>
      <c r="F39" s="6"/>
      <c r="G39" s="6"/>
      <c r="H39" s="6"/>
      <c r="I39" s="6"/>
    </row>
    <row r="40" spans="1:9" ht="18" customHeight="1" thickBot="1" x14ac:dyDescent="0.2">
      <c r="A40" s="15"/>
      <c r="B40" s="57"/>
    </row>
    <row r="41" spans="1:9" ht="18" customHeight="1" thickBot="1" x14ac:dyDescent="0.2">
      <c r="A41" s="28" t="s">
        <v>60</v>
      </c>
      <c r="B41" s="179" t="s">
        <v>15</v>
      </c>
      <c r="C41" s="148" t="s">
        <v>61</v>
      </c>
      <c r="F41" s="192"/>
    </row>
    <row r="42" spans="1:9" ht="18" customHeight="1" x14ac:dyDescent="0.15">
      <c r="A42" s="58" t="s">
        <v>62</v>
      </c>
      <c r="B42" s="103">
        <f>ROUNDDOWN(B23*0.33-B43,-4)</f>
        <v>260000</v>
      </c>
      <c r="C42" s="168">
        <f>(B42)/B45</f>
        <v>0.32911392405063289</v>
      </c>
      <c r="E42" s="192">
        <f>B42/B10</f>
        <v>812.5</v>
      </c>
    </row>
    <row r="43" spans="1:9" ht="18" customHeight="1" x14ac:dyDescent="0.15">
      <c r="A43" s="58" t="s">
        <v>63</v>
      </c>
      <c r="B43" s="103">
        <v>0</v>
      </c>
      <c r="C43" s="168">
        <f>(B43)/B45</f>
        <v>0</v>
      </c>
      <c r="D43" s="192"/>
    </row>
    <row r="44" spans="1:9" ht="18" customHeight="1" thickBot="1" x14ac:dyDescent="0.2">
      <c r="A44" s="119" t="s">
        <v>64</v>
      </c>
      <c r="B44" s="164">
        <f>B23-B42-B43</f>
        <v>530000</v>
      </c>
    </row>
    <row r="45" spans="1:9" ht="18" customHeight="1" thickBot="1" x14ac:dyDescent="0.2">
      <c r="A45" s="28" t="s">
        <v>65</v>
      </c>
      <c r="B45" s="165">
        <f>SUM(B42:B44)</f>
        <v>790000</v>
      </c>
    </row>
    <row r="46" spans="1:9" s="41" customFormat="1" ht="18" customHeight="1" thickBot="1" x14ac:dyDescent="0.2">
      <c r="B46" s="42"/>
      <c r="C46" s="4"/>
      <c r="D46" s="4"/>
      <c r="E46" s="4"/>
      <c r="F46" s="4"/>
      <c r="G46" s="4"/>
    </row>
    <row r="47" spans="1:9" ht="18" customHeight="1" thickBot="1" x14ac:dyDescent="0.2">
      <c r="A47" s="47" t="s">
        <v>66</v>
      </c>
      <c r="B47" s="178" t="s">
        <v>15</v>
      </c>
      <c r="C47" s="170" t="s">
        <v>61</v>
      </c>
      <c r="D47" s="78" t="s">
        <v>67</v>
      </c>
      <c r="E47" s="79" t="s">
        <v>68</v>
      </c>
      <c r="F47" s="79" t="s">
        <v>69</v>
      </c>
      <c r="G47" s="80" t="s">
        <v>70</v>
      </c>
      <c r="H47" s="181"/>
      <c r="I47" s="180" t="s">
        <v>71</v>
      </c>
    </row>
    <row r="48" spans="1:9" ht="18" customHeight="1" x14ac:dyDescent="0.15">
      <c r="A48" s="60" t="s">
        <v>72</v>
      </c>
      <c r="B48" s="109">
        <v>1000000</v>
      </c>
      <c r="C48" s="172">
        <f>B48/B55</f>
        <v>0.625</v>
      </c>
      <c r="D48" s="191">
        <f>B48/B10</f>
        <v>3125</v>
      </c>
      <c r="E48" s="83"/>
      <c r="F48" s="83"/>
      <c r="G48" s="84"/>
      <c r="H48" s="83"/>
      <c r="I48" s="83"/>
    </row>
    <row r="49" spans="1:256" ht="18" hidden="1" customHeight="1" x14ac:dyDescent="0.15">
      <c r="A49" s="6" t="s">
        <v>73</v>
      </c>
      <c r="B49" s="169"/>
      <c r="C49" s="49"/>
      <c r="D49" s="49"/>
      <c r="E49" s="49"/>
      <c r="F49" s="171"/>
      <c r="G49" s="162"/>
      <c r="H49" s="49"/>
      <c r="I49" s="49"/>
      <c r="J49" s="4" t="s">
        <v>74</v>
      </c>
    </row>
    <row r="50" spans="1:256" ht="18" hidden="1" customHeight="1" x14ac:dyDescent="0.15">
      <c r="A50" s="6" t="s">
        <v>75</v>
      </c>
      <c r="B50" s="169"/>
      <c r="C50" s="49"/>
      <c r="D50" s="49"/>
      <c r="E50" s="49"/>
      <c r="F50" s="171"/>
      <c r="G50" s="162"/>
      <c r="H50" s="49"/>
      <c r="I50" s="49"/>
    </row>
    <row r="51" spans="1:256" ht="18" hidden="1" customHeight="1" thickBot="1" x14ac:dyDescent="0.2">
      <c r="A51" s="6" t="s">
        <v>76</v>
      </c>
      <c r="B51" s="169"/>
      <c r="C51" s="49"/>
      <c r="D51" s="49"/>
      <c r="E51" s="49"/>
      <c r="F51" s="171"/>
      <c r="G51" s="162"/>
      <c r="H51" s="49"/>
      <c r="I51" s="49"/>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row>
    <row r="52" spans="1:256" ht="18" customHeight="1" thickBot="1" x14ac:dyDescent="0.2">
      <c r="A52" s="6" t="s">
        <v>77</v>
      </c>
      <c r="B52" s="169">
        <f>B39-B48</f>
        <v>600000</v>
      </c>
      <c r="C52" s="49"/>
      <c r="D52" s="173">
        <v>3.5000000000000003E-2</v>
      </c>
      <c r="E52" s="49"/>
      <c r="F52" s="171">
        <v>10</v>
      </c>
      <c r="G52" s="162">
        <f>-B52*(D52+E52)</f>
        <v>-21000.000000000004</v>
      </c>
      <c r="H52" s="49" t="s">
        <v>78</v>
      </c>
      <c r="I52" s="113">
        <f>B52</f>
        <v>600000</v>
      </c>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row>
    <row r="53" spans="1:256" ht="18" hidden="1" customHeight="1" x14ac:dyDescent="0.15">
      <c r="A53" s="6" t="s">
        <v>79</v>
      </c>
      <c r="B53" s="110"/>
      <c r="C53" s="61"/>
      <c r="D53" s="61"/>
      <c r="E53" s="61"/>
      <c r="F53" s="81"/>
      <c r="G53" s="82"/>
      <c r="H53" s="77"/>
      <c r="I53" s="61"/>
      <c r="J53" s="4" t="s">
        <v>80</v>
      </c>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row>
    <row r="54" spans="1:256" ht="18" hidden="1" customHeight="1" thickBot="1" x14ac:dyDescent="0.2">
      <c r="A54" s="6" t="s">
        <v>81</v>
      </c>
      <c r="B54" s="110"/>
      <c r="C54" s="64"/>
      <c r="D54" s="64">
        <v>0</v>
      </c>
      <c r="E54" s="62">
        <v>0</v>
      </c>
      <c r="F54" s="63"/>
      <c r="G54" s="72">
        <f>-B54*(D54+E54)/100</f>
        <v>0</v>
      </c>
      <c r="H54" s="65"/>
      <c r="I54" s="64"/>
    </row>
    <row r="55" spans="1:256" ht="18" customHeight="1" thickBot="1" x14ac:dyDescent="0.2">
      <c r="A55" s="47" t="s">
        <v>82</v>
      </c>
      <c r="B55" s="166">
        <f>SUM(B48:B54)</f>
        <v>1600000</v>
      </c>
      <c r="E55" s="7"/>
      <c r="F55" s="7"/>
      <c r="G55" s="72">
        <f>SUM(G44:G54)</f>
        <v>-21000.000000000004</v>
      </c>
      <c r="H55" s="11"/>
    </row>
    <row r="56" spans="1:256" ht="18" customHeight="1" thickBot="1" x14ac:dyDescent="0.2">
      <c r="A56" s="15"/>
      <c r="D56" s="212" t="s">
        <v>83</v>
      </c>
      <c r="G56" s="15"/>
    </row>
    <row r="57" spans="1:256" ht="18" customHeight="1" thickBot="1" x14ac:dyDescent="0.2">
      <c r="A57" s="47" t="s">
        <v>84</v>
      </c>
      <c r="B57" s="106" t="s">
        <v>15</v>
      </c>
      <c r="C57" s="73"/>
      <c r="D57" s="213"/>
    </row>
    <row r="58" spans="1:256" ht="18" customHeight="1" x14ac:dyDescent="0.15">
      <c r="A58" s="6" t="s">
        <v>85</v>
      </c>
      <c r="B58" s="110">
        <f>F17</f>
        <v>0</v>
      </c>
      <c r="C58" s="73"/>
      <c r="D58" s="67"/>
    </row>
    <row r="59" spans="1:256" ht="18" customHeight="1" x14ac:dyDescent="0.15">
      <c r="A59" s="6" t="s">
        <v>86</v>
      </c>
      <c r="B59" s="110">
        <v>0</v>
      </c>
      <c r="C59" s="73"/>
      <c r="D59" s="68"/>
    </row>
    <row r="60" spans="1:256" ht="18" customHeight="1" x14ac:dyDescent="0.15">
      <c r="A60" s="6" t="s">
        <v>87</v>
      </c>
      <c r="B60" s="110">
        <f>-D26</f>
        <v>-22910</v>
      </c>
      <c r="C60" s="73"/>
      <c r="D60" s="69"/>
    </row>
    <row r="61" spans="1:256" ht="18" customHeight="1" x14ac:dyDescent="0.15">
      <c r="A61" s="6" t="s">
        <v>88</v>
      </c>
      <c r="B61" s="110">
        <v>0</v>
      </c>
      <c r="C61" s="73"/>
      <c r="D61" s="68"/>
    </row>
    <row r="62" spans="1:256" ht="18" customHeight="1" x14ac:dyDescent="0.15">
      <c r="A62" s="6" t="s">
        <v>89</v>
      </c>
      <c r="B62" s="110">
        <v>-2500</v>
      </c>
      <c r="C62" s="59"/>
      <c r="D62" s="211" t="s">
        <v>90</v>
      </c>
      <c r="E62" s="211"/>
      <c r="F62" s="85" t="s">
        <v>91</v>
      </c>
      <c r="G62" s="32"/>
      <c r="H62" s="32"/>
      <c r="I62" s="85" t="s">
        <v>92</v>
      </c>
      <c r="J62" s="32"/>
      <c r="K62" s="32"/>
    </row>
    <row r="63" spans="1:256" ht="18" customHeight="1" x14ac:dyDescent="0.15">
      <c r="A63" s="6" t="s">
        <v>93</v>
      </c>
      <c r="B63" s="110">
        <v>0</v>
      </c>
      <c r="C63" s="73"/>
      <c r="D63" s="67"/>
    </row>
    <row r="64" spans="1:256" ht="18" customHeight="1" thickBot="1" x14ac:dyDescent="0.2">
      <c r="A64" s="6" t="s">
        <v>94</v>
      </c>
      <c r="B64" s="110">
        <f>G55</f>
        <v>-21000.000000000004</v>
      </c>
      <c r="C64" s="73"/>
      <c r="D64" s="75"/>
      <c r="E64" s="76" t="s">
        <v>95</v>
      </c>
      <c r="F64" s="5" t="s">
        <v>96</v>
      </c>
    </row>
    <row r="65" spans="1:4" ht="18" customHeight="1" thickBot="1" x14ac:dyDescent="0.2">
      <c r="A65" s="47" t="str">
        <f>IF(B65&lt;0,"Unterdeckung","Überschuss")</f>
        <v>Unterdeckung</v>
      </c>
      <c r="B65" s="167">
        <f>SUM(B58:B64)</f>
        <v>-46410</v>
      </c>
    </row>
    <row r="66" spans="1:4" ht="18" customHeight="1" thickBot="1" x14ac:dyDescent="0.2">
      <c r="B66" s="105"/>
    </row>
    <row r="67" spans="1:4" ht="18" customHeight="1" thickBot="1" x14ac:dyDescent="0.2">
      <c r="A67" s="47" t="s">
        <v>97</v>
      </c>
      <c r="B67" s="106" t="s">
        <v>98</v>
      </c>
      <c r="C67" s="21"/>
      <c r="D67" s="92"/>
    </row>
    <row r="68" spans="1:4" ht="18" customHeight="1" x14ac:dyDescent="0.15">
      <c r="A68" s="6" t="s">
        <v>99</v>
      </c>
      <c r="B68" s="110">
        <f>1*SUM(B58:B63)</f>
        <v>-25410</v>
      </c>
    </row>
    <row r="69" spans="1:4" ht="18" customHeight="1" thickBot="1" x14ac:dyDescent="0.2">
      <c r="A69" s="6" t="s">
        <v>100</v>
      </c>
      <c r="B69" s="110">
        <f>3*G55/2</f>
        <v>-31500.000000000007</v>
      </c>
    </row>
    <row r="70" spans="1:4" ht="18" customHeight="1" thickBot="1" x14ac:dyDescent="0.2">
      <c r="A70" s="47" t="s">
        <v>101</v>
      </c>
      <c r="B70" s="202">
        <f>SUM(B68:B69)</f>
        <v>-56910.000000000007</v>
      </c>
    </row>
    <row r="71" spans="1:4" ht="18" customHeight="1" x14ac:dyDescent="0.15"/>
    <row r="72" spans="1:4" ht="18" customHeight="1" x14ac:dyDescent="0.15"/>
    <row r="73" spans="1:4" ht="18" customHeight="1" x14ac:dyDescent="0.15"/>
    <row r="74" spans="1:4" ht="18" customHeight="1" x14ac:dyDescent="0.15"/>
    <row r="75" spans="1:4" ht="18" customHeight="1" x14ac:dyDescent="0.15"/>
    <row r="76" spans="1:4" ht="18" customHeight="1" x14ac:dyDescent="0.15"/>
    <row r="77" spans="1:4" ht="18" customHeight="1" x14ac:dyDescent="0.15"/>
    <row r="78" spans="1:4" ht="18" customHeight="1" x14ac:dyDescent="0.15"/>
    <row r="79" spans="1:4" ht="18" customHeight="1" x14ac:dyDescent="0.15"/>
    <row r="80" spans="1:4"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sheetData>
  <mergeCells count="2">
    <mergeCell ref="D62:E62"/>
    <mergeCell ref="D56:D57"/>
  </mergeCells>
  <phoneticPr fontId="0" type="noConversion"/>
  <pageMargins left="0.5" right="0.5" top="0.5" bottom="0.5" header="0" footer="0"/>
  <pageSetup paperSize="9" scale="60" orientation="landscape" horizontalDpi="360" verticalDpi="360" r:id="rId1"/>
  <headerFooter alignWithMargins="0">
    <oddFooter xml:space="preserve">&amp;L
&amp;C Stiftung trias </oddFooter>
  </headerFooter>
  <rowBreaks count="1" manualBreakCount="1">
    <brk id="65" max="9" man="1"/>
  </rowBreaks>
  <colBreaks count="1" manualBreakCount="1">
    <brk id="11"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B9CBE-9189-444C-8D73-34B770B178CE}">
  <dimension ref="A1:IV119"/>
  <sheetViews>
    <sheetView showOutlineSymbols="0" topLeftCell="A26" zoomScale="116" zoomScaleNormal="100" zoomScalePageLayoutView="80" workbookViewId="0">
      <selection activeCell="D63" sqref="D63"/>
    </sheetView>
  </sheetViews>
  <sheetFormatPr baseColWidth="10" defaultColWidth="9.5703125" defaultRowHeight="14" x14ac:dyDescent="0.15"/>
  <cols>
    <col min="1" max="1" width="31.5703125" style="4" customWidth="1"/>
    <col min="2" max="2" width="17.140625" style="4" customWidth="1"/>
    <col min="3" max="3" width="14.42578125" style="4" customWidth="1"/>
    <col min="4" max="4" width="16.5703125" style="4" customWidth="1"/>
    <col min="5" max="5" width="16.42578125" style="4" customWidth="1"/>
    <col min="6" max="6" width="15.42578125" style="4" customWidth="1"/>
    <col min="7" max="7" width="14.5703125" style="4" customWidth="1"/>
    <col min="8" max="8" width="10.5703125" style="4" customWidth="1"/>
    <col min="9" max="9" width="26.5703125" style="4" customWidth="1"/>
    <col min="10" max="10" width="13.5703125" style="4" customWidth="1"/>
    <col min="11" max="16384" width="9.5703125" style="4"/>
  </cols>
  <sheetData>
    <row r="1" spans="1:256" ht="18" customHeight="1" x14ac:dyDescent="0.15">
      <c r="A1" s="1" t="s">
        <v>0</v>
      </c>
      <c r="B1" s="2"/>
      <c r="C1" s="2"/>
      <c r="D1" s="2"/>
      <c r="E1" s="2"/>
      <c r="F1" s="2"/>
      <c r="G1" s="2"/>
      <c r="H1" s="2"/>
      <c r="I1" s="2"/>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18" customHeight="1" x14ac:dyDescent="0.15">
      <c r="E2" s="5"/>
    </row>
    <row r="3" spans="1:256" ht="18" customHeight="1" x14ac:dyDescent="0.15">
      <c r="A3" s="158" t="str">
        <f>Umbauphase!A3</f>
        <v>Objektadresse:</v>
      </c>
      <c r="B3" s="159" t="str">
        <f>Umbauphase!B3</f>
        <v>München, Torbogenhaus</v>
      </c>
      <c r="C3" s="159"/>
      <c r="D3" s="159"/>
      <c r="E3" s="158" t="str">
        <f>Umbauphase!E3</f>
        <v>Projekt</v>
      </c>
      <c r="F3" s="159"/>
      <c r="G3" s="160" t="str">
        <f>Umbauphase!G3</f>
        <v>Wohnraumschiff (convex us eG)</v>
      </c>
      <c r="H3" s="160"/>
      <c r="I3" s="160"/>
    </row>
    <row r="4" spans="1:256" ht="18" customHeight="1" x14ac:dyDescent="0.15">
      <c r="B4" s="7"/>
      <c r="C4" s="7"/>
      <c r="D4" s="7"/>
      <c r="G4" s="7"/>
      <c r="H4" s="7"/>
      <c r="I4" s="7"/>
    </row>
    <row r="5" spans="1:256" ht="18" customHeight="1" thickBot="1" x14ac:dyDescent="0.2"/>
    <row r="6" spans="1:256" ht="18" customHeight="1" thickBot="1" x14ac:dyDescent="0.2">
      <c r="A6" s="8" t="s">
        <v>7</v>
      </c>
      <c r="B6" s="9" t="s">
        <v>8</v>
      </c>
      <c r="C6" s="10" t="s">
        <v>9</v>
      </c>
      <c r="D6" s="11"/>
      <c r="E6" s="12" t="s">
        <v>10</v>
      </c>
      <c r="G6" s="13" t="s">
        <v>11</v>
      </c>
      <c r="H6" s="14"/>
    </row>
    <row r="7" spans="1:256" ht="18" customHeight="1" x14ac:dyDescent="0.15">
      <c r="A7" s="15" t="s">
        <v>12</v>
      </c>
      <c r="B7" s="104">
        <f>Umbauphase!B7</f>
        <v>200</v>
      </c>
      <c r="C7" s="97">
        <f>Umbauphase!C7</f>
        <v>6500</v>
      </c>
      <c r="D7" s="16" t="s">
        <v>13</v>
      </c>
      <c r="E7" s="103">
        <f>ROUNDUP(B7*C7,-4)</f>
        <v>1300000</v>
      </c>
    </row>
    <row r="8" spans="1:256" ht="18" customHeight="1" x14ac:dyDescent="0.15">
      <c r="A8" s="4" t="s">
        <v>14</v>
      </c>
      <c r="B8" s="18">
        <v>3</v>
      </c>
      <c r="C8" s="19"/>
      <c r="D8" s="23"/>
      <c r="F8" s="21" t="s">
        <v>15</v>
      </c>
    </row>
    <row r="9" spans="1:256" ht="18" hidden="1" customHeight="1" x14ac:dyDescent="0.15">
      <c r="A9" s="4" t="s">
        <v>16</v>
      </c>
      <c r="B9" s="18"/>
      <c r="C9" s="22"/>
      <c r="D9" s="91"/>
      <c r="F9" s="24" t="s">
        <v>17</v>
      </c>
      <c r="G9" s="11"/>
    </row>
    <row r="10" spans="1:256" ht="18" customHeight="1" thickBot="1" x14ac:dyDescent="0.2">
      <c r="A10" s="25" t="s">
        <v>18</v>
      </c>
      <c r="B10" s="95">
        <f>Umbauphase!$B$10</f>
        <v>320</v>
      </c>
      <c r="C10" s="102">
        <v>19</v>
      </c>
      <c r="D10" s="100">
        <f>B10*C10</f>
        <v>6080</v>
      </c>
      <c r="E10" s="23" t="s">
        <v>19</v>
      </c>
      <c r="F10" s="98">
        <f>D10*12</f>
        <v>72960</v>
      </c>
      <c r="G10" s="20"/>
    </row>
    <row r="11" spans="1:256" ht="18" hidden="1" customHeight="1" x14ac:dyDescent="0.15">
      <c r="A11" s="25" t="s">
        <v>20</v>
      </c>
      <c r="B11" s="95"/>
      <c r="C11" s="102">
        <v>12</v>
      </c>
      <c r="D11" s="100">
        <f>B11*C11</f>
        <v>0</v>
      </c>
      <c r="E11" s="23" t="s">
        <v>19</v>
      </c>
      <c r="F11" s="98">
        <f>D11*12</f>
        <v>0</v>
      </c>
      <c r="G11" s="20"/>
    </row>
    <row r="12" spans="1:256" ht="18" hidden="1" customHeight="1" x14ac:dyDescent="0.15">
      <c r="A12" s="25" t="s">
        <v>21</v>
      </c>
      <c r="B12" s="95"/>
      <c r="C12" s="102">
        <v>6</v>
      </c>
      <c r="D12" s="100">
        <f t="shared" ref="D12:D14" si="0">B12*C12</f>
        <v>0</v>
      </c>
      <c r="E12" s="23" t="s">
        <v>19</v>
      </c>
      <c r="F12" s="98">
        <f t="shared" ref="F12:F14" si="1">D12*12</f>
        <v>0</v>
      </c>
      <c r="G12" s="20"/>
    </row>
    <row r="13" spans="1:256" ht="18" hidden="1" customHeight="1" x14ac:dyDescent="0.15">
      <c r="A13" s="25" t="s">
        <v>22</v>
      </c>
      <c r="B13" s="95"/>
      <c r="C13" s="102">
        <v>3.5</v>
      </c>
      <c r="D13" s="100">
        <f t="shared" si="0"/>
        <v>0</v>
      </c>
      <c r="E13" s="23" t="s">
        <v>19</v>
      </c>
      <c r="F13" s="98">
        <f t="shared" si="1"/>
        <v>0</v>
      </c>
      <c r="G13" s="20"/>
    </row>
    <row r="14" spans="1:256" ht="18" hidden="1" customHeight="1" x14ac:dyDescent="0.15">
      <c r="A14" s="25" t="s">
        <v>23</v>
      </c>
      <c r="B14" s="95"/>
      <c r="C14" s="102">
        <v>3.5</v>
      </c>
      <c r="D14" s="100">
        <f t="shared" si="0"/>
        <v>0</v>
      </c>
      <c r="E14" s="23" t="s">
        <v>19</v>
      </c>
      <c r="F14" s="98">
        <f t="shared" si="1"/>
        <v>0</v>
      </c>
      <c r="G14" s="20"/>
    </row>
    <row r="15" spans="1:256" ht="18" hidden="1" customHeight="1" x14ac:dyDescent="0.15">
      <c r="A15" s="25"/>
      <c r="B15" s="95"/>
      <c r="C15" s="102"/>
      <c r="D15" s="100">
        <f>B15*C15</f>
        <v>0</v>
      </c>
      <c r="E15" s="23" t="s">
        <v>19</v>
      </c>
      <c r="F15" s="98">
        <f>D15*12</f>
        <v>0</v>
      </c>
      <c r="G15" s="20"/>
    </row>
    <row r="16" spans="1:256" ht="18" hidden="1" customHeight="1" thickBot="1" x14ac:dyDescent="0.2">
      <c r="A16" s="25" t="s">
        <v>24</v>
      </c>
      <c r="B16" s="95"/>
      <c r="C16" s="102"/>
      <c r="D16" s="100">
        <f>B16*C16</f>
        <v>0</v>
      </c>
      <c r="E16" s="23" t="s">
        <v>19</v>
      </c>
      <c r="F16" s="98">
        <f>D16*12</f>
        <v>0</v>
      </c>
      <c r="G16" s="20"/>
    </row>
    <row r="17" spans="1:9" ht="18" customHeight="1" thickBot="1" x14ac:dyDescent="0.2">
      <c r="A17" s="26" t="s">
        <v>25</v>
      </c>
      <c r="B17" s="96">
        <f>SUM(B10:B16)</f>
        <v>320</v>
      </c>
      <c r="C17" s="97"/>
      <c r="D17" s="101">
        <f>SUM(D10:D16)</f>
        <v>6080</v>
      </c>
      <c r="E17" s="27" t="s">
        <v>19</v>
      </c>
      <c r="F17" s="99">
        <f>SUM(F10:F16)</f>
        <v>72960</v>
      </c>
      <c r="G17" s="11"/>
    </row>
    <row r="18" spans="1:9" ht="18" customHeight="1" thickBot="1" x14ac:dyDescent="0.2"/>
    <row r="19" spans="1:9" ht="18" customHeight="1" thickBot="1" x14ac:dyDescent="0.2">
      <c r="A19" s="28" t="s">
        <v>26</v>
      </c>
      <c r="B19" s="29" t="s">
        <v>15</v>
      </c>
      <c r="C19" s="87" t="s">
        <v>27</v>
      </c>
      <c r="D19" s="30"/>
      <c r="E19" s="30"/>
      <c r="F19" s="30"/>
      <c r="G19" s="30"/>
      <c r="H19" s="30"/>
      <c r="I19" s="30"/>
    </row>
    <row r="20" spans="1:9" ht="18" customHeight="1" thickBot="1" x14ac:dyDescent="0.2">
      <c r="A20" s="30" t="s">
        <v>28</v>
      </c>
      <c r="B20" s="31">
        <f>Umbauphase!B20</f>
        <v>1300000</v>
      </c>
      <c r="C20" s="88"/>
      <c r="D20" s="33" t="s">
        <v>29</v>
      </c>
      <c r="E20" s="33"/>
      <c r="F20" s="33"/>
      <c r="G20" s="33"/>
      <c r="H20" s="33"/>
      <c r="I20" s="30"/>
    </row>
    <row r="21" spans="1:9" ht="18" customHeight="1" thickBot="1" x14ac:dyDescent="0.2">
      <c r="A21" s="30" t="s">
        <v>30</v>
      </c>
      <c r="B21" s="17">
        <f>ROUNDUP(B20*(D21+F21+H21),-4)</f>
        <v>120000</v>
      </c>
      <c r="C21" s="86">
        <f>D21+F21+H21</f>
        <v>9.0700000000000003E-2</v>
      </c>
      <c r="D21" s="35">
        <v>3.5000000000000003E-2</v>
      </c>
      <c r="E21" s="33" t="s">
        <v>31</v>
      </c>
      <c r="F21" s="36">
        <v>0.02</v>
      </c>
      <c r="G21" s="33" t="s">
        <v>32</v>
      </c>
      <c r="H21" s="36">
        <f>Umbauphase!H21</f>
        <v>3.5700000000000003E-2</v>
      </c>
      <c r="I21" s="33" t="s">
        <v>33</v>
      </c>
    </row>
    <row r="22" spans="1:9" ht="18" customHeight="1" x14ac:dyDescent="0.15">
      <c r="A22" s="30" t="s">
        <v>34</v>
      </c>
      <c r="B22" s="17">
        <f>SUM(B20:B21)</f>
        <v>1420000</v>
      </c>
      <c r="C22" s="34"/>
      <c r="D22" s="37"/>
      <c r="E22" s="30"/>
      <c r="F22" s="37"/>
      <c r="G22" s="30"/>
      <c r="H22" s="37"/>
      <c r="I22" s="30"/>
    </row>
    <row r="23" spans="1:9" ht="18" customHeight="1" x14ac:dyDescent="0.15">
      <c r="A23" s="30" t="s">
        <v>102</v>
      </c>
      <c r="B23" s="38">
        <f>B22-B33</f>
        <v>790000</v>
      </c>
      <c r="C23" s="39"/>
      <c r="D23" s="30"/>
      <c r="E23" s="37"/>
      <c r="F23" s="30"/>
      <c r="G23" s="30"/>
      <c r="H23" s="30"/>
      <c r="I23" s="30"/>
    </row>
    <row r="24" spans="1:9" s="41" customFormat="1" ht="18" customHeight="1" thickBot="1" x14ac:dyDescent="0.2">
      <c r="B24" s="42"/>
      <c r="C24" s="43"/>
      <c r="D24" s="44"/>
      <c r="E24" s="45"/>
      <c r="F24" s="45"/>
      <c r="H24" s="46"/>
    </row>
    <row r="25" spans="1:9" s="41" customFormat="1" ht="18" customHeight="1" thickBot="1" x14ac:dyDescent="0.3">
      <c r="A25" s="145" t="s">
        <v>36</v>
      </c>
      <c r="B25" s="146" t="s">
        <v>37</v>
      </c>
      <c r="C25" s="144" t="s">
        <v>27</v>
      </c>
      <c r="D25" s="143" t="s">
        <v>38</v>
      </c>
      <c r="E25" s="128" t="s">
        <v>39</v>
      </c>
      <c r="F25" s="120" t="s">
        <v>40</v>
      </c>
      <c r="G25" s="121"/>
      <c r="H25" s="122"/>
      <c r="I25" s="121"/>
    </row>
    <row r="26" spans="1:9" s="41" customFormat="1" ht="18" customHeight="1" x14ac:dyDescent="0.15">
      <c r="A26" s="139" t="s">
        <v>41</v>
      </c>
      <c r="B26" s="140">
        <v>3</v>
      </c>
      <c r="C26" s="141">
        <f>Umbauphase!C26</f>
        <v>2.9000000000000001E-2</v>
      </c>
      <c r="D26" s="142">
        <f>MAX(1000,C26*$B$23)</f>
        <v>22910</v>
      </c>
      <c r="E26" s="127">
        <f>(((1*(((1+0.045)^B26-1)/(0.045)))/(1+0.045)^B26)-((1*(((1+0.045)^0-1)/(0.045)))/(1+0.045)^0))*D26</f>
        <v>62978.773357822836</v>
      </c>
      <c r="F26" s="130" t="s">
        <v>25</v>
      </c>
      <c r="G26" s="121"/>
      <c r="H26" s="122"/>
      <c r="I26" s="121"/>
    </row>
    <row r="27" spans="1:9" s="41" customFormat="1" ht="18" customHeight="1" x14ac:dyDescent="0.15">
      <c r="A27" s="94" t="s">
        <v>42</v>
      </c>
      <c r="B27" s="118">
        <v>7</v>
      </c>
      <c r="C27" s="117">
        <f>Umbauphase!C27</f>
        <v>3.9E-2</v>
      </c>
      <c r="D27" s="116">
        <f>MAX(1000,C27*$B$23)</f>
        <v>30810</v>
      </c>
      <c r="E27" s="127">
        <f>(((1*(((1+0.045)^SUM(B$26:B27)-1)/(0.045)))/(1+0.045)^SUM(B$26:B27))-((1*(((1+0.045)^B26-1)/(0.045)))/(1+0.045)^B26))*D27</f>
        <v>159095.25527969163</v>
      </c>
      <c r="F27" s="132">
        <f>SUM(E26:E30)</f>
        <v>740683.1364807263</v>
      </c>
      <c r="G27" s="121"/>
      <c r="H27" s="122"/>
      <c r="I27" s="121"/>
    </row>
    <row r="28" spans="1:9" s="41" customFormat="1" ht="18" customHeight="1" x14ac:dyDescent="0.15">
      <c r="A28" s="123" t="s">
        <v>43</v>
      </c>
      <c r="B28" s="124">
        <v>10</v>
      </c>
      <c r="C28" s="125">
        <f>Umbauphase!C28</f>
        <v>4.2000000000000003E-2</v>
      </c>
      <c r="D28" s="126">
        <f t="shared" ref="D28:D30" si="2">MAX(1000,C28*$B$23)</f>
        <v>33180</v>
      </c>
      <c r="E28" s="127">
        <f>(((1*(((1+0.045)^SUM(B$26:B28)-1)/(0.045)))/(1+0.045)^SUM(B$26:B28))-((1*(((1+0.045)^SUM(B$26:B27)-1)/(0.045)))/(1+0.045)^SUM(B$26:B27)))*D28</f>
        <v>169059.34234271824</v>
      </c>
      <c r="F28" s="131" t="s">
        <v>44</v>
      </c>
      <c r="G28" s="121"/>
      <c r="H28" s="122"/>
      <c r="I28" s="121"/>
    </row>
    <row r="29" spans="1:9" s="41" customFormat="1" ht="18" customHeight="1" x14ac:dyDescent="0.15">
      <c r="A29" s="123" t="s">
        <v>45</v>
      </c>
      <c r="B29" s="124">
        <v>13</v>
      </c>
      <c r="C29" s="125">
        <f>Umbauphase!C29</f>
        <v>4.9000000000000002E-2</v>
      </c>
      <c r="D29" s="126">
        <f t="shared" si="2"/>
        <v>38710</v>
      </c>
      <c r="E29" s="127">
        <f>(((1*(((1+0.045)^SUM(B$26:B29)-1)/(0.045)))/(1+0.045)^SUM(B$26:B29))-((1*(((1+0.045)^SUM(B$26:B28)-1)/(0.045)))/(1+0.045)^SUM(B$26:B28)))*D29</f>
        <v>155417.77067552376</v>
      </c>
      <c r="F29" s="129">
        <f>F30/B23</f>
        <v>5.0407182283974838E-2</v>
      </c>
      <c r="G29" s="121"/>
      <c r="H29" s="122"/>
      <c r="I29" s="121"/>
    </row>
    <row r="30" spans="1:9" s="41" customFormat="1" ht="18" customHeight="1" x14ac:dyDescent="0.15">
      <c r="A30" s="123" t="s">
        <v>46</v>
      </c>
      <c r="B30" s="124" t="s">
        <v>47</v>
      </c>
      <c r="C30" s="125">
        <f>Umbauphase!C30</f>
        <v>0.05</v>
      </c>
      <c r="D30" s="126">
        <f t="shared" si="2"/>
        <v>39500</v>
      </c>
      <c r="E30" s="127">
        <f>(((1*(((1+0.045)^99-1)/(0.045)))/(1+0.045)^99)-((1*(((1+0.045)^SUM(B$26:B29)-1)/(0.045)))/(1+0.045)^SUM(B$26:B29)))*D30</f>
        <v>194131.99482496973</v>
      </c>
      <c r="F30" s="133">
        <f>SUM(E26:E30)/18.6</f>
        <v>39821.674004340122</v>
      </c>
      <c r="G30" s="121"/>
      <c r="H30" s="122"/>
      <c r="I30" s="121"/>
    </row>
    <row r="31" spans="1:9" s="41" customFormat="1" ht="18" customHeight="1" thickBot="1" x14ac:dyDescent="0.2">
      <c r="B31" s="42"/>
      <c r="C31" s="43"/>
      <c r="D31" s="44"/>
      <c r="E31" s="45"/>
      <c r="F31" s="45"/>
      <c r="H31" s="46"/>
    </row>
    <row r="32" spans="1:9" ht="18" customHeight="1" thickBot="1" x14ac:dyDescent="0.2">
      <c r="A32" s="47" t="s">
        <v>48</v>
      </c>
      <c r="B32" s="90" t="s">
        <v>15</v>
      </c>
      <c r="C32" s="89" t="s">
        <v>27</v>
      </c>
      <c r="D32" s="6"/>
      <c r="E32" s="6"/>
      <c r="F32" s="6"/>
      <c r="G32" s="6"/>
      <c r="H32" s="48"/>
      <c r="I32" s="6"/>
    </row>
    <row r="33" spans="1:9" ht="18" customHeight="1" thickBot="1" x14ac:dyDescent="0.2">
      <c r="A33" s="6" t="s">
        <v>49</v>
      </c>
      <c r="B33" s="111">
        <f>Umbauphase!B33</f>
        <v>630000</v>
      </c>
      <c r="C33" s="50"/>
      <c r="D33" s="48" t="s">
        <v>50</v>
      </c>
      <c r="E33" s="6"/>
      <c r="F33" s="48"/>
      <c r="G33" s="6"/>
      <c r="H33" s="48"/>
      <c r="I33" s="6"/>
    </row>
    <row r="34" spans="1:9" ht="18" customHeight="1" thickBot="1" x14ac:dyDescent="0.2">
      <c r="A34" s="6" t="s">
        <v>51</v>
      </c>
      <c r="B34" s="112">
        <f>Umbauphase!B34</f>
        <v>61000</v>
      </c>
      <c r="C34" s="51">
        <f>D34+F34+H34</f>
        <v>5.5000000000000007E-2</v>
      </c>
      <c r="D34" s="52">
        <f>D21</f>
        <v>3.5000000000000003E-2</v>
      </c>
      <c r="E34" s="6" t="s">
        <v>52</v>
      </c>
      <c r="F34" s="53">
        <v>0.02</v>
      </c>
      <c r="G34" s="6" t="s">
        <v>32</v>
      </c>
      <c r="H34" s="53">
        <v>0</v>
      </c>
      <c r="I34" s="6" t="s">
        <v>33</v>
      </c>
    </row>
    <row r="35" spans="1:9" ht="18" hidden="1" customHeight="1" x14ac:dyDescent="0.15">
      <c r="A35" s="6"/>
      <c r="B35" s="113">
        <f>Umbauphase!B35</f>
        <v>0</v>
      </c>
      <c r="C35" s="50"/>
      <c r="D35" s="48"/>
      <c r="E35" s="6"/>
      <c r="F35" s="48"/>
      <c r="G35" s="6"/>
      <c r="H35" s="48"/>
      <c r="I35" s="6"/>
    </row>
    <row r="36" spans="1:9" ht="18" customHeight="1" x14ac:dyDescent="0.15">
      <c r="A36" s="6" t="s">
        <v>53</v>
      </c>
      <c r="B36" s="113">
        <f>Umbauphase!B36</f>
        <v>850000</v>
      </c>
      <c r="C36" s="54"/>
      <c r="D36" s="6" t="s">
        <v>54</v>
      </c>
      <c r="E36" s="6"/>
      <c r="F36" s="6"/>
      <c r="G36" s="6"/>
      <c r="H36" s="6"/>
      <c r="I36" s="6"/>
    </row>
    <row r="37" spans="1:9" ht="18" customHeight="1" x14ac:dyDescent="0.15">
      <c r="A37" s="6" t="s">
        <v>55</v>
      </c>
      <c r="B37" s="201">
        <f>Umbauphase!B37</f>
        <v>55000</v>
      </c>
      <c r="C37" s="50"/>
      <c r="D37" s="6"/>
      <c r="E37" s="6"/>
      <c r="F37" s="6"/>
      <c r="G37" s="6"/>
      <c r="H37" s="6"/>
      <c r="I37" s="6"/>
    </row>
    <row r="38" spans="1:9" ht="18" customHeight="1" thickBot="1" x14ac:dyDescent="0.2">
      <c r="A38" s="6" t="s">
        <v>57</v>
      </c>
      <c r="B38" s="114">
        <f>Umbauphase!B38</f>
        <v>4000</v>
      </c>
      <c r="C38" s="55"/>
      <c r="D38" s="6" t="s">
        <v>103</v>
      </c>
      <c r="E38" s="6"/>
      <c r="F38" s="6"/>
      <c r="G38" s="6"/>
      <c r="H38" s="6"/>
      <c r="I38" s="6"/>
    </row>
    <row r="39" spans="1:9" ht="18" customHeight="1" thickBot="1" x14ac:dyDescent="0.2">
      <c r="A39" s="56" t="s">
        <v>59</v>
      </c>
      <c r="B39" s="115">
        <f>Umbauphase!B39</f>
        <v>1600000</v>
      </c>
      <c r="C39" s="6"/>
      <c r="D39" s="6"/>
      <c r="E39" s="6"/>
      <c r="F39" s="6"/>
      <c r="G39" s="6"/>
      <c r="H39" s="6"/>
      <c r="I39" s="6"/>
    </row>
    <row r="40" spans="1:9" ht="18" customHeight="1" thickBot="1" x14ac:dyDescent="0.2">
      <c r="A40" s="15"/>
      <c r="B40" s="57"/>
    </row>
    <row r="41" spans="1:9" ht="18" customHeight="1" thickBot="1" x14ac:dyDescent="0.2">
      <c r="A41" s="28" t="str">
        <f>Umbauphase!A41</f>
        <v>Finanzierung Stiftung trias</v>
      </c>
      <c r="B41" s="147" t="str">
        <f>Umbauphase!B41</f>
        <v>€</v>
      </c>
      <c r="C41" s="148" t="str">
        <f>Umbauphase!C41</f>
        <v>Kommentar</v>
      </c>
    </row>
    <row r="42" spans="1:9" ht="18" customHeight="1" x14ac:dyDescent="0.15">
      <c r="A42" s="58" t="str">
        <f>Umbauphase!A42</f>
        <v>Zustiftung seitens Projekt</v>
      </c>
      <c r="B42" s="103">
        <f>Umbauphase!B42</f>
        <v>260000</v>
      </c>
      <c r="C42" s="168">
        <f>(B42)/B45</f>
        <v>0.32911392405063289</v>
      </c>
    </row>
    <row r="43" spans="1:9" ht="18" customHeight="1" x14ac:dyDescent="0.15">
      <c r="A43" s="58" t="str">
        <f>Umbauphase!A43</f>
        <v>Sondervermögen f. München + Umg.</v>
      </c>
      <c r="B43" s="103">
        <f>Umbauphase!B43</f>
        <v>0</v>
      </c>
      <c r="C43" s="168">
        <f>(B43)/B45</f>
        <v>0</v>
      </c>
    </row>
    <row r="44" spans="1:9" ht="18" customHeight="1" thickBot="1" x14ac:dyDescent="0.2">
      <c r="A44" s="119" t="str">
        <f>Umbauphase!A44</f>
        <v>sonstige Mittel der Stiftung + Partner</v>
      </c>
      <c r="B44" s="164">
        <f>Umbauphase!B44</f>
        <v>530000</v>
      </c>
    </row>
    <row r="45" spans="1:9" ht="18" customHeight="1" thickBot="1" x14ac:dyDescent="0.2">
      <c r="A45" s="28" t="str">
        <f>Umbauphase!A45</f>
        <v>Summe</v>
      </c>
      <c r="B45" s="165">
        <f>Umbauphase!B45</f>
        <v>790000</v>
      </c>
    </row>
    <row r="46" spans="1:9" s="41" customFormat="1" ht="18" customHeight="1" thickBot="1" x14ac:dyDescent="0.2">
      <c r="B46" s="42"/>
      <c r="C46" s="4"/>
      <c r="D46" s="4"/>
      <c r="E46" s="4"/>
      <c r="F46" s="4"/>
      <c r="G46" s="4"/>
    </row>
    <row r="47" spans="1:9" ht="18" customHeight="1" thickBot="1" x14ac:dyDescent="0.2">
      <c r="A47" s="47" t="str">
        <f>Umbauphase!A47</f>
        <v>Finanzierung Projekt</v>
      </c>
      <c r="B47" s="178" t="str">
        <f>Umbauphase!B47</f>
        <v>€</v>
      </c>
      <c r="C47" s="170" t="str">
        <f>Umbauphase!C47</f>
        <v>Kommentar</v>
      </c>
      <c r="D47" s="78" t="str">
        <f>Umbauphase!D47</f>
        <v>Zins p.a.</v>
      </c>
      <c r="E47" s="79" t="str">
        <f>Umbauphase!E47</f>
        <v>Tilgung</v>
      </c>
      <c r="F47" s="79" t="str">
        <f>Umbauphase!F47</f>
        <v>Zins fest für</v>
      </c>
      <c r="G47" s="80" t="str">
        <f>Umbauphase!G47</f>
        <v>Kapitaldienst p.a.</v>
      </c>
      <c r="H47" s="181" t="s">
        <v>104</v>
      </c>
      <c r="I47" s="180" t="str">
        <f>Umbauphase!I47</f>
        <v>Saldo nach dieser Phase</v>
      </c>
    </row>
    <row r="48" spans="1:9" ht="18" customHeight="1" x14ac:dyDescent="0.15">
      <c r="A48" s="60" t="str">
        <f>Umbauphase!A48</f>
        <v>eG Anteile</v>
      </c>
      <c r="B48" s="109">
        <f>Umbauphase!B48</f>
        <v>1000000</v>
      </c>
      <c r="C48" s="172">
        <f>Umbauphase!C48</f>
        <v>0.625</v>
      </c>
      <c r="D48" s="191">
        <f>B48/B10</f>
        <v>3125</v>
      </c>
      <c r="E48" s="190"/>
      <c r="F48" s="83"/>
      <c r="G48" s="84"/>
      <c r="H48" s="83"/>
      <c r="I48" s="83"/>
    </row>
    <row r="49" spans="1:256" ht="18" hidden="1" customHeight="1" x14ac:dyDescent="0.15">
      <c r="A49" s="6" t="str">
        <f>Umbauphase!A49</f>
        <v>Private Darlehen</v>
      </c>
      <c r="B49" s="169">
        <f>Umbauphase!B49</f>
        <v>0</v>
      </c>
      <c r="C49" s="49">
        <f>Umbauphase!C49</f>
        <v>0</v>
      </c>
      <c r="D49" s="49">
        <f>Umbauphase!D49</f>
        <v>0</v>
      </c>
      <c r="E49" s="49">
        <f>Umbauphase!E49</f>
        <v>0</v>
      </c>
      <c r="F49" s="171">
        <f>Umbauphase!F49</f>
        <v>0</v>
      </c>
      <c r="G49" s="162">
        <f>Umbauphase!G49</f>
        <v>0</v>
      </c>
      <c r="H49" s="49"/>
      <c r="I49" s="49"/>
    </row>
    <row r="50" spans="1:256" ht="18" hidden="1" customHeight="1" x14ac:dyDescent="0.15">
      <c r="A50" s="6" t="str">
        <f>Umbauphase!A50</f>
        <v>Öffentliche Mittel:</v>
      </c>
      <c r="B50" s="169">
        <f>Umbauphase!B50</f>
        <v>0</v>
      </c>
      <c r="C50" s="49">
        <f>Umbauphase!C50</f>
        <v>0</v>
      </c>
      <c r="D50" s="49">
        <f>Umbauphase!D50</f>
        <v>0</v>
      </c>
      <c r="E50" s="49">
        <f>Umbauphase!E50</f>
        <v>0</v>
      </c>
      <c r="F50" s="171">
        <f>Umbauphase!F50</f>
        <v>0</v>
      </c>
      <c r="G50" s="162">
        <f>Umbauphase!G50</f>
        <v>0</v>
      </c>
      <c r="H50" s="49"/>
      <c r="I50" s="49"/>
    </row>
    <row r="51" spans="1:256" ht="18" hidden="1" customHeight="1" x14ac:dyDescent="0.15">
      <c r="A51" s="6" t="str">
        <f>Umbauphase!A51</f>
        <v>GLS Bürgschaftsdarlehen</v>
      </c>
      <c r="B51" s="169">
        <f>Umbauphase!B51</f>
        <v>0</v>
      </c>
      <c r="C51" s="49">
        <f>Umbauphase!C51</f>
        <v>0</v>
      </c>
      <c r="D51" s="49">
        <f>Umbauphase!D51</f>
        <v>0</v>
      </c>
      <c r="E51" s="49">
        <f>Umbauphase!E51</f>
        <v>0</v>
      </c>
      <c r="F51" s="171">
        <f>Umbauphase!F51</f>
        <v>0</v>
      </c>
      <c r="G51" s="162">
        <f>Umbauphase!G51</f>
        <v>0</v>
      </c>
      <c r="H51" s="49"/>
      <c r="I51" s="49"/>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row>
    <row r="52" spans="1:256" ht="18" customHeight="1" thickBot="1" x14ac:dyDescent="0.2">
      <c r="A52" s="6" t="str">
        <f>Umbauphase!A52</f>
        <v>GLS Grundschulddarlehen</v>
      </c>
      <c r="B52" s="169">
        <f>Umbauphase!B52</f>
        <v>600000</v>
      </c>
      <c r="C52" s="49"/>
      <c r="D52" s="173">
        <f>Umbauphase!D52</f>
        <v>3.5000000000000003E-2</v>
      </c>
      <c r="E52" s="199">
        <f>-CUMPRINC(D52,35,1,1,1,0)</f>
        <v>1.4998347315924903E-2</v>
      </c>
      <c r="F52" s="200" t="s">
        <v>105</v>
      </c>
      <c r="G52" s="210">
        <f>-SUM(D52:E52)*B52</f>
        <v>-29999.008389554947</v>
      </c>
      <c r="H52" s="49" t="s">
        <v>78</v>
      </c>
      <c r="I52" s="113">
        <f>B52+CUMPRINC(D52,34,B52,1,7,0)</f>
        <v>526439.51753857173</v>
      </c>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row>
    <row r="53" spans="1:256" ht="18" hidden="1" customHeight="1" x14ac:dyDescent="0.15">
      <c r="A53" s="6" t="str">
        <f>Umbauphase!A53</f>
        <v xml:space="preserve">KfW-CO²-Einsparung u. ä. </v>
      </c>
      <c r="B53" s="110">
        <f>Umbauphase!B53</f>
        <v>0</v>
      </c>
      <c r="C53" s="61">
        <f>Umbauphase!C53</f>
        <v>0</v>
      </c>
      <c r="D53" s="61">
        <f>Umbauphase!D53</f>
        <v>0</v>
      </c>
      <c r="E53" s="61">
        <f>Umbauphase!E53</f>
        <v>0</v>
      </c>
      <c r="F53" s="81">
        <f>Umbauphase!F53</f>
        <v>0</v>
      </c>
      <c r="G53" s="82">
        <f>Umbauphase!G53</f>
        <v>0</v>
      </c>
      <c r="H53" s="77"/>
      <c r="I53" s="61"/>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row>
    <row r="54" spans="1:256" ht="18" hidden="1" customHeight="1" thickBot="1" x14ac:dyDescent="0.2">
      <c r="A54" s="6" t="str">
        <f>Umbauphase!A54</f>
        <v>Sonstige Mittel:</v>
      </c>
      <c r="B54" s="110">
        <f>Umbauphase!B54</f>
        <v>0</v>
      </c>
      <c r="C54" s="64">
        <f>Umbauphase!C54</f>
        <v>0</v>
      </c>
      <c r="D54" s="64">
        <f>Umbauphase!D54</f>
        <v>0</v>
      </c>
      <c r="E54" s="62">
        <f>Umbauphase!E54</f>
        <v>0</v>
      </c>
      <c r="F54" s="63">
        <f>Umbauphase!F54</f>
        <v>0</v>
      </c>
      <c r="G54" s="72">
        <f>Umbauphase!G54</f>
        <v>0</v>
      </c>
      <c r="H54" s="65"/>
      <c r="I54" s="64"/>
    </row>
    <row r="55" spans="1:256" ht="18" customHeight="1" thickBot="1" x14ac:dyDescent="0.2">
      <c r="A55" s="47" t="str">
        <f>Umbauphase!A55</f>
        <v>Gesamtfinanzierung</v>
      </c>
      <c r="B55" s="203">
        <f>Umbauphase!B55</f>
        <v>1600000</v>
      </c>
      <c r="E55" s="7"/>
      <c r="F55" s="7"/>
      <c r="G55" s="72">
        <f>SUM(G48:G54)</f>
        <v>-29999.008389554947</v>
      </c>
      <c r="H55" s="11"/>
    </row>
    <row r="56" spans="1:256" ht="18" customHeight="1" thickBot="1" x14ac:dyDescent="0.2">
      <c r="A56" s="15"/>
      <c r="G56" s="15"/>
      <c r="I56" s="157"/>
      <c r="J56" s="189"/>
      <c r="K56" s="157"/>
    </row>
    <row r="57" spans="1:256" ht="18" customHeight="1" thickBot="1" x14ac:dyDescent="0.2">
      <c r="A57" s="47" t="s">
        <v>84</v>
      </c>
      <c r="B57" s="66" t="s">
        <v>15</v>
      </c>
      <c r="C57" s="73"/>
      <c r="D57" s="182" t="s">
        <v>83</v>
      </c>
      <c r="F57" s="198">
        <f>SUM(D52:E52)</f>
        <v>4.999834731592491E-2</v>
      </c>
      <c r="I57" s="157"/>
      <c r="J57" s="189"/>
    </row>
    <row r="58" spans="1:256" ht="18" customHeight="1" x14ac:dyDescent="0.15">
      <c r="A58" s="6" t="s">
        <v>85</v>
      </c>
      <c r="B58" s="110">
        <f>F17</f>
        <v>72960</v>
      </c>
      <c r="C58" s="73"/>
      <c r="D58" s="67"/>
      <c r="I58" s="157"/>
      <c r="J58" s="189"/>
    </row>
    <row r="59" spans="1:256" ht="18" customHeight="1" x14ac:dyDescent="0.15">
      <c r="A59" s="6" t="s">
        <v>86</v>
      </c>
      <c r="B59" s="110">
        <v>0</v>
      </c>
      <c r="C59" s="73"/>
      <c r="D59" s="68"/>
      <c r="I59" s="157"/>
      <c r="J59" s="189"/>
    </row>
    <row r="60" spans="1:256" ht="18" customHeight="1" x14ac:dyDescent="0.15">
      <c r="A60" s="6" t="s">
        <v>87</v>
      </c>
      <c r="B60" s="110">
        <f>-D27</f>
        <v>-30810</v>
      </c>
      <c r="C60" s="73"/>
      <c r="D60" s="69"/>
      <c r="I60" s="157"/>
      <c r="J60" s="189"/>
    </row>
    <row r="61" spans="1:256" ht="18" customHeight="1" x14ac:dyDescent="0.15">
      <c r="A61" s="6" t="s">
        <v>88</v>
      </c>
      <c r="B61" s="110">
        <f>-D61*B17*12</f>
        <v>-3840</v>
      </c>
      <c r="C61" s="73"/>
      <c r="D61" s="68">
        <v>1</v>
      </c>
      <c r="E61" s="4" t="s">
        <v>106</v>
      </c>
      <c r="F61" s="4" t="s">
        <v>118</v>
      </c>
      <c r="G61" s="4" t="s">
        <v>119</v>
      </c>
    </row>
    <row r="62" spans="1:256" ht="18" customHeight="1" x14ac:dyDescent="0.15">
      <c r="A62" s="6" t="s">
        <v>107</v>
      </c>
      <c r="B62" s="110">
        <f>-D62</f>
        <v>-7581.3254064852472</v>
      </c>
      <c r="C62" s="59"/>
      <c r="D62" s="68">
        <f>SUM(E62:G62)*POWER(1.02,7)</f>
        <v>7581.3254064852472</v>
      </c>
      <c r="E62" s="154"/>
      <c r="F62" s="216">
        <f>5*B10</f>
        <v>1600</v>
      </c>
      <c r="G62" s="216">
        <v>5000</v>
      </c>
      <c r="H62" s="176"/>
      <c r="I62" s="177"/>
    </row>
    <row r="63" spans="1:256" ht="18" customHeight="1" x14ac:dyDescent="0.15">
      <c r="A63" s="6" t="s">
        <v>93</v>
      </c>
      <c r="B63" s="110">
        <f>B58*(-D63)</f>
        <v>-1094.3999999999999</v>
      </c>
      <c r="C63" s="73"/>
      <c r="D63" s="107">
        <v>1.4999999999999999E-2</v>
      </c>
      <c r="E63" s="174" t="s">
        <v>109</v>
      </c>
    </row>
    <row r="64" spans="1:256" ht="18" customHeight="1" x14ac:dyDescent="0.15">
      <c r="A64" s="6" t="s">
        <v>94</v>
      </c>
      <c r="B64" s="110">
        <f>G55</f>
        <v>-29999.008389554947</v>
      </c>
      <c r="C64" s="73"/>
      <c r="D64" s="153">
        <f>-(B61+B62+B63)/B58</f>
        <v>0.1715422890143263</v>
      </c>
      <c r="E64" s="76" t="s">
        <v>109</v>
      </c>
      <c r="F64" s="5" t="s">
        <v>96</v>
      </c>
    </row>
    <row r="65" spans="1:8" ht="18" customHeight="1" thickBot="1" x14ac:dyDescent="0.2">
      <c r="A65" s="6" t="s">
        <v>110</v>
      </c>
      <c r="B65" s="110">
        <v>0</v>
      </c>
      <c r="C65" s="74"/>
      <c r="D65" s="70"/>
    </row>
    <row r="66" spans="1:8" ht="18" customHeight="1" thickBot="1" x14ac:dyDescent="0.2">
      <c r="A66" s="47" t="str">
        <f>IF(B66&lt;0,"Unterdeckung","Überschuss")</f>
        <v>Unterdeckung</v>
      </c>
      <c r="B66" s="167">
        <f>SUM(B58:B65)</f>
        <v>-364.73379604019647</v>
      </c>
    </row>
    <row r="67" spans="1:8" ht="18" customHeight="1" thickBot="1" x14ac:dyDescent="0.2">
      <c r="B67" s="188">
        <f>(B66/B10/12)</f>
        <v>-9.4982759385467838E-2</v>
      </c>
      <c r="H67" s="154" t="s">
        <v>108</v>
      </c>
    </row>
    <row r="68" spans="1:8" ht="18" customHeight="1" thickBot="1" x14ac:dyDescent="0.2">
      <c r="A68" s="47" t="s">
        <v>111</v>
      </c>
      <c r="B68" s="108">
        <f>C10-B67</f>
        <v>19.094982759385466</v>
      </c>
      <c r="C68" s="21"/>
      <c r="D68" s="92"/>
    </row>
    <row r="69" spans="1:8" ht="18" customHeight="1" x14ac:dyDescent="0.15"/>
    <row r="70" spans="1:8" ht="18" customHeight="1" x14ac:dyDescent="0.15"/>
    <row r="71" spans="1:8" ht="18" customHeight="1" x14ac:dyDescent="0.15"/>
    <row r="72" spans="1:8" ht="18" customHeight="1" x14ac:dyDescent="0.15"/>
    <row r="73" spans="1:8" ht="18" customHeight="1" x14ac:dyDescent="0.15"/>
    <row r="74" spans="1:8" ht="18" customHeight="1" x14ac:dyDescent="0.15"/>
    <row r="75" spans="1:8" ht="18" customHeight="1" x14ac:dyDescent="0.15"/>
    <row r="76" spans="1:8" ht="18" customHeight="1" x14ac:dyDescent="0.15"/>
    <row r="77" spans="1:8" ht="18" customHeight="1" x14ac:dyDescent="0.15"/>
    <row r="78" spans="1:8" ht="18" customHeight="1" x14ac:dyDescent="0.15"/>
    <row r="79" spans="1:8" ht="18" customHeight="1" x14ac:dyDescent="0.15"/>
    <row r="80" spans="1:8"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sheetData>
  <pageMargins left="0.5" right="0.5" top="0.5" bottom="0.5" header="0" footer="0"/>
  <pageSetup paperSize="9" scale="60" orientation="landscape" horizontalDpi="360" verticalDpi="360" r:id="rId1"/>
  <headerFooter alignWithMargins="0">
    <oddFooter xml:space="preserve">&amp;L
&amp;C Stiftung trias </oddFooter>
  </headerFooter>
  <rowBreaks count="1" manualBreakCount="1">
    <brk id="66" max="9" man="1"/>
  </rowBreaks>
  <colBreaks count="1" manualBreakCount="1">
    <brk id="11"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20EF1-A11B-413F-997C-7E8DF3F47956}">
  <dimension ref="A1:IV119"/>
  <sheetViews>
    <sheetView showOutlineSymbols="0" topLeftCell="A22" zoomScaleNormal="100" zoomScalePageLayoutView="80" workbookViewId="0">
      <selection activeCell="D63" sqref="D63"/>
    </sheetView>
  </sheetViews>
  <sheetFormatPr baseColWidth="10" defaultColWidth="9.5703125" defaultRowHeight="14" x14ac:dyDescent="0.15"/>
  <cols>
    <col min="1" max="1" width="31.5703125" style="4" customWidth="1"/>
    <col min="2" max="2" width="17.140625" style="4" customWidth="1"/>
    <col min="3" max="3" width="14.42578125" style="4" customWidth="1"/>
    <col min="4" max="4" width="16.5703125" style="4" customWidth="1"/>
    <col min="5" max="5" width="18.42578125" style="4" customWidth="1"/>
    <col min="6" max="6" width="15" style="4" customWidth="1"/>
    <col min="7" max="7" width="14.5703125" style="4" customWidth="1"/>
    <col min="8" max="8" width="10.5703125" style="4" customWidth="1"/>
    <col min="9" max="9" width="26.5703125" style="4" customWidth="1"/>
    <col min="10" max="10" width="13.5703125" style="4" customWidth="1"/>
    <col min="11" max="16384" width="9.5703125" style="4"/>
  </cols>
  <sheetData>
    <row r="1" spans="1:256" ht="18" customHeight="1" x14ac:dyDescent="0.15">
      <c r="A1" s="1" t="s">
        <v>0</v>
      </c>
      <c r="B1" s="2"/>
      <c r="C1" s="2"/>
      <c r="D1" s="2"/>
      <c r="E1" s="2"/>
      <c r="F1" s="2"/>
      <c r="G1" s="2"/>
      <c r="H1" s="2"/>
      <c r="I1" s="2"/>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18" customHeight="1" x14ac:dyDescent="0.15">
      <c r="E2" s="5"/>
    </row>
    <row r="3" spans="1:256" ht="18" customHeight="1" x14ac:dyDescent="0.15">
      <c r="A3" s="5" t="s">
        <v>1</v>
      </c>
      <c r="B3" s="4" t="s">
        <v>117</v>
      </c>
      <c r="E3" s="5" t="s">
        <v>112</v>
      </c>
      <c r="G3" s="6" t="str">
        <f>Bezug!$G$3</f>
        <v>Wohnraumschiff (convex us eG)</v>
      </c>
      <c r="H3" s="6"/>
      <c r="I3" s="6"/>
    </row>
    <row r="4" spans="1:256" ht="18" customHeight="1" x14ac:dyDescent="0.15">
      <c r="B4" s="7"/>
      <c r="C4" s="7"/>
      <c r="D4" s="7"/>
      <c r="G4" s="7"/>
      <c r="H4" s="7"/>
      <c r="I4" s="7"/>
    </row>
    <row r="5" spans="1:256" ht="18" customHeight="1" x14ac:dyDescent="0.15"/>
    <row r="6" spans="1:256" ht="18" customHeight="1" x14ac:dyDescent="0.15">
      <c r="A6" s="8" t="s">
        <v>7</v>
      </c>
      <c r="B6" s="9" t="s">
        <v>8</v>
      </c>
      <c r="C6" s="10" t="s">
        <v>9</v>
      </c>
      <c r="D6" s="11"/>
      <c r="E6" s="12" t="s">
        <v>10</v>
      </c>
      <c r="G6" s="13" t="s">
        <v>11</v>
      </c>
      <c r="H6" s="14"/>
    </row>
    <row r="7" spans="1:256" ht="18" customHeight="1" x14ac:dyDescent="0.15">
      <c r="A7" s="15" t="s">
        <v>12</v>
      </c>
      <c r="B7" s="104">
        <f>Umbauphase!B7</f>
        <v>200</v>
      </c>
      <c r="C7" s="97">
        <f>Umbauphase!C7</f>
        <v>6500</v>
      </c>
      <c r="D7" s="16" t="s">
        <v>13</v>
      </c>
      <c r="E7" s="103">
        <f>ROUNDUP(B7*C7,-4)</f>
        <v>1300000</v>
      </c>
    </row>
    <row r="8" spans="1:256" ht="18" customHeight="1" x14ac:dyDescent="0.15">
      <c r="A8" s="4" t="s">
        <v>14</v>
      </c>
      <c r="B8" s="18">
        <v>3</v>
      </c>
      <c r="C8" s="19"/>
      <c r="D8" s="23"/>
      <c r="F8" s="21" t="s">
        <v>15</v>
      </c>
    </row>
    <row r="9" spans="1:256" ht="18" hidden="1" customHeight="1" x14ac:dyDescent="0.15">
      <c r="A9" s="4" t="s">
        <v>16</v>
      </c>
      <c r="B9" s="18"/>
      <c r="C9" s="22"/>
      <c r="D9" s="91"/>
      <c r="F9" s="24" t="s">
        <v>17</v>
      </c>
      <c r="G9" s="11"/>
    </row>
    <row r="10" spans="1:256" ht="18" customHeight="1" thickBot="1" x14ac:dyDescent="0.2">
      <c r="A10" s="25" t="s">
        <v>18</v>
      </c>
      <c r="B10" s="95">
        <f>Bezug!$B$10</f>
        <v>320</v>
      </c>
      <c r="C10" s="102">
        <v>20</v>
      </c>
      <c r="D10" s="100">
        <f>B10*C10</f>
        <v>6400</v>
      </c>
      <c r="E10" s="23" t="s">
        <v>19</v>
      </c>
      <c r="F10" s="98">
        <f>D10*12</f>
        <v>76800</v>
      </c>
      <c r="G10" s="20"/>
    </row>
    <row r="11" spans="1:256" ht="18" hidden="1" customHeight="1" x14ac:dyDescent="0.15">
      <c r="A11" s="25" t="s">
        <v>20</v>
      </c>
      <c r="B11" s="95"/>
      <c r="C11" s="102">
        <v>12</v>
      </c>
      <c r="D11" s="100">
        <f>B11*C11</f>
        <v>0</v>
      </c>
      <c r="E11" s="23" t="s">
        <v>19</v>
      </c>
      <c r="F11" s="98">
        <f>D11*12</f>
        <v>0</v>
      </c>
      <c r="G11" s="20"/>
    </row>
    <row r="12" spans="1:256" ht="18" hidden="1" customHeight="1" x14ac:dyDescent="0.15">
      <c r="A12" s="25" t="s">
        <v>21</v>
      </c>
      <c r="B12" s="95"/>
      <c r="C12" s="102">
        <v>6</v>
      </c>
      <c r="D12" s="100">
        <f t="shared" ref="D12:D14" si="0">B12*C12</f>
        <v>0</v>
      </c>
      <c r="E12" s="23" t="s">
        <v>19</v>
      </c>
      <c r="F12" s="98">
        <f t="shared" ref="F12:F14" si="1">D12*12</f>
        <v>0</v>
      </c>
      <c r="G12" s="20"/>
    </row>
    <row r="13" spans="1:256" ht="18" hidden="1" customHeight="1" x14ac:dyDescent="0.15">
      <c r="A13" s="25" t="s">
        <v>22</v>
      </c>
      <c r="B13" s="95"/>
      <c r="C13" s="102">
        <v>3.5</v>
      </c>
      <c r="D13" s="100">
        <f t="shared" si="0"/>
        <v>0</v>
      </c>
      <c r="E13" s="23" t="s">
        <v>19</v>
      </c>
      <c r="F13" s="98">
        <f t="shared" si="1"/>
        <v>0</v>
      </c>
      <c r="G13" s="20"/>
    </row>
    <row r="14" spans="1:256" ht="18" hidden="1" customHeight="1" x14ac:dyDescent="0.15">
      <c r="A14" s="25" t="s">
        <v>23</v>
      </c>
      <c r="B14" s="95"/>
      <c r="C14" s="102">
        <v>3.5</v>
      </c>
      <c r="D14" s="100">
        <f t="shared" si="0"/>
        <v>0</v>
      </c>
      <c r="E14" s="23" t="s">
        <v>19</v>
      </c>
      <c r="F14" s="98">
        <f t="shared" si="1"/>
        <v>0</v>
      </c>
      <c r="G14" s="20"/>
    </row>
    <row r="15" spans="1:256" ht="18" hidden="1" customHeight="1" x14ac:dyDescent="0.15">
      <c r="A15" s="25"/>
      <c r="B15" s="95"/>
      <c r="C15" s="102"/>
      <c r="D15" s="100">
        <f>B15*C15</f>
        <v>0</v>
      </c>
      <c r="E15" s="23" t="s">
        <v>19</v>
      </c>
      <c r="F15" s="98">
        <f>D15*12</f>
        <v>0</v>
      </c>
      <c r="G15" s="20"/>
    </row>
    <row r="16" spans="1:256" ht="18" hidden="1" customHeight="1" x14ac:dyDescent="0.15">
      <c r="A16" s="25" t="s">
        <v>24</v>
      </c>
      <c r="B16" s="95"/>
      <c r="C16" s="102"/>
      <c r="D16" s="100">
        <f>B16*C16</f>
        <v>0</v>
      </c>
      <c r="E16" s="23" t="s">
        <v>19</v>
      </c>
      <c r="F16" s="98">
        <f>D16*12</f>
        <v>0</v>
      </c>
      <c r="G16" s="20"/>
    </row>
    <row r="17" spans="1:9" ht="18" customHeight="1" thickBot="1" x14ac:dyDescent="0.2">
      <c r="A17" s="26" t="s">
        <v>25</v>
      </c>
      <c r="B17" s="96">
        <f>SUM(B10:B16)</f>
        <v>320</v>
      </c>
      <c r="C17" s="97"/>
      <c r="D17" s="101">
        <f>SUM(D10:D16)</f>
        <v>6400</v>
      </c>
      <c r="E17" s="27" t="s">
        <v>19</v>
      </c>
      <c r="F17" s="99">
        <f>SUM(F10:F16)</f>
        <v>76800</v>
      </c>
      <c r="G17" s="11"/>
    </row>
    <row r="18" spans="1:9" ht="18" customHeight="1" thickBot="1" x14ac:dyDescent="0.2"/>
    <row r="19" spans="1:9" ht="18" customHeight="1" x14ac:dyDescent="0.15">
      <c r="A19" s="28" t="s">
        <v>26</v>
      </c>
      <c r="B19" s="29" t="s">
        <v>15</v>
      </c>
      <c r="C19" s="87" t="s">
        <v>27</v>
      </c>
      <c r="D19" s="30"/>
      <c r="E19" s="30"/>
      <c r="F19" s="30"/>
      <c r="G19" s="30"/>
      <c r="H19" s="30"/>
      <c r="I19" s="30"/>
    </row>
    <row r="20" spans="1:9" ht="18" customHeight="1" x14ac:dyDescent="0.15">
      <c r="A20" s="30" t="s">
        <v>28</v>
      </c>
      <c r="B20" s="31">
        <f>Bezug!B20</f>
        <v>1300000</v>
      </c>
      <c r="C20" s="88"/>
      <c r="D20" s="33" t="s">
        <v>29</v>
      </c>
      <c r="E20" s="33"/>
      <c r="F20" s="33"/>
      <c r="G20" s="33"/>
      <c r="H20" s="33"/>
      <c r="I20" s="30"/>
    </row>
    <row r="21" spans="1:9" ht="18" customHeight="1" x14ac:dyDescent="0.15">
      <c r="A21" s="30" t="s">
        <v>30</v>
      </c>
      <c r="B21" s="17">
        <f>ROUNDUP(B20*(D21+F21+H21),-4)</f>
        <v>120000</v>
      </c>
      <c r="C21" s="86">
        <f>D21+F21+H21</f>
        <v>9.0700000000000003E-2</v>
      </c>
      <c r="D21" s="35">
        <v>3.5000000000000003E-2</v>
      </c>
      <c r="E21" s="33" t="s">
        <v>31</v>
      </c>
      <c r="F21" s="36">
        <v>0.02</v>
      </c>
      <c r="G21" s="33" t="s">
        <v>32</v>
      </c>
      <c r="H21" s="36">
        <f>Umbauphase!H21</f>
        <v>3.5700000000000003E-2</v>
      </c>
      <c r="I21" s="33" t="s">
        <v>33</v>
      </c>
    </row>
    <row r="22" spans="1:9" ht="18" customHeight="1" x14ac:dyDescent="0.15">
      <c r="A22" s="30" t="s">
        <v>34</v>
      </c>
      <c r="B22" s="17">
        <f>SUM(B20:B21)</f>
        <v>1420000</v>
      </c>
      <c r="C22" s="34"/>
      <c r="D22" s="37"/>
      <c r="E22" s="30"/>
      <c r="F22" s="37"/>
      <c r="G22" s="30"/>
      <c r="H22" s="37"/>
      <c r="I22" s="30"/>
    </row>
    <row r="23" spans="1:9" ht="18" customHeight="1" x14ac:dyDescent="0.15">
      <c r="A23" s="30" t="s">
        <v>102</v>
      </c>
      <c r="B23" s="38">
        <f>B22-B33</f>
        <v>790000</v>
      </c>
      <c r="C23" s="39"/>
      <c r="D23" s="30"/>
      <c r="E23" s="37"/>
      <c r="F23" s="30"/>
      <c r="G23" s="30"/>
      <c r="H23" s="30"/>
      <c r="I23" s="30"/>
    </row>
    <row r="24" spans="1:9" s="41" customFormat="1" ht="18" customHeight="1" x14ac:dyDescent="0.15">
      <c r="B24" s="42"/>
      <c r="C24" s="43"/>
      <c r="D24" s="44"/>
      <c r="E24" s="45"/>
      <c r="F24" s="45"/>
      <c r="H24" s="46"/>
    </row>
    <row r="25" spans="1:9" s="41" customFormat="1" ht="18" customHeight="1" x14ac:dyDescent="0.25">
      <c r="A25" s="145" t="s">
        <v>36</v>
      </c>
      <c r="B25" s="146" t="s">
        <v>37</v>
      </c>
      <c r="C25" s="144" t="s">
        <v>27</v>
      </c>
      <c r="D25" s="143" t="s">
        <v>38</v>
      </c>
      <c r="E25" s="128" t="s">
        <v>39</v>
      </c>
      <c r="F25" s="120" t="s">
        <v>40</v>
      </c>
      <c r="G25" s="121"/>
      <c r="H25" s="122"/>
      <c r="I25" s="121"/>
    </row>
    <row r="26" spans="1:9" s="41" customFormat="1" ht="18" customHeight="1" x14ac:dyDescent="0.15">
      <c r="A26" s="139" t="s">
        <v>41</v>
      </c>
      <c r="B26" s="140">
        <v>3</v>
      </c>
      <c r="C26" s="141">
        <f>Bezug!C26</f>
        <v>2.9000000000000001E-2</v>
      </c>
      <c r="D26" s="142">
        <f>MAX(1000,C26*$B$23)</f>
        <v>22910</v>
      </c>
      <c r="E26" s="127">
        <f>(((1*(((1+0.045)^B26-1)/(0.045)))/(1+0.045)^B26)-((1*(((1+0.045)^0-1)/(0.045)))/(1+0.045)^0))*D26</f>
        <v>62978.773357822836</v>
      </c>
      <c r="F26" s="130" t="s">
        <v>25</v>
      </c>
      <c r="G26" s="121"/>
      <c r="H26" s="122"/>
      <c r="I26" s="121"/>
    </row>
    <row r="27" spans="1:9" s="41" customFormat="1" ht="18" customHeight="1" x14ac:dyDescent="0.15">
      <c r="A27" s="123" t="s">
        <v>42</v>
      </c>
      <c r="B27" s="124">
        <v>7</v>
      </c>
      <c r="C27" s="125">
        <f>Bezug!C27</f>
        <v>3.9E-2</v>
      </c>
      <c r="D27" s="126">
        <f>MAX(1000,C27*$B$23)</f>
        <v>30810</v>
      </c>
      <c r="E27" s="127">
        <f>(((1*(((1+0.045)^SUM(B$26:B27)-1)/(0.045)))/(1+0.045)^SUM(B$26:B27))-((1*(((1+0.045)^B26-1)/(0.045)))/(1+0.045)^B26))*D27</f>
        <v>159095.25527969163</v>
      </c>
      <c r="F27" s="132">
        <f>SUM(E26:E30)</f>
        <v>740683.1364807263</v>
      </c>
      <c r="G27" s="121"/>
      <c r="H27" s="122"/>
      <c r="I27" s="121"/>
    </row>
    <row r="28" spans="1:9" s="41" customFormat="1" ht="18" customHeight="1" x14ac:dyDescent="0.15">
      <c r="A28" s="94" t="s">
        <v>43</v>
      </c>
      <c r="B28" s="118">
        <v>10</v>
      </c>
      <c r="C28" s="117">
        <f>Bezug!C28</f>
        <v>4.2000000000000003E-2</v>
      </c>
      <c r="D28" s="116">
        <f t="shared" ref="D28:D30" si="2">MAX(1000,C28*$B$23)</f>
        <v>33180</v>
      </c>
      <c r="E28" s="127">
        <f>(((1*(((1+0.045)^SUM(B$26:B28)-1)/(0.045)))/(1+0.045)^SUM(B$26:B28))-((1*(((1+0.045)^SUM(B$26:B27)-1)/(0.045)))/(1+0.045)^SUM(B$26:B27)))*D28</f>
        <v>169059.34234271824</v>
      </c>
      <c r="F28" s="131" t="s">
        <v>44</v>
      </c>
      <c r="G28" s="121"/>
      <c r="H28" s="122"/>
      <c r="I28" s="121"/>
    </row>
    <row r="29" spans="1:9" s="41" customFormat="1" ht="18" customHeight="1" x14ac:dyDescent="0.15">
      <c r="A29" s="123" t="s">
        <v>45</v>
      </c>
      <c r="B29" s="124">
        <v>13</v>
      </c>
      <c r="C29" s="125">
        <f>Bezug!C29</f>
        <v>4.9000000000000002E-2</v>
      </c>
      <c r="D29" s="126">
        <f t="shared" si="2"/>
        <v>38710</v>
      </c>
      <c r="E29" s="127">
        <f>(((1*(((1+0.045)^SUM(B$26:B29)-1)/(0.045)))/(1+0.045)^SUM(B$26:B29))-((1*(((1+0.045)^SUM(B$26:B28)-1)/(0.045)))/(1+0.045)^SUM(B$26:B28)))*D29</f>
        <v>155417.77067552376</v>
      </c>
      <c r="F29" s="129">
        <f>F30/B23</f>
        <v>5.0407182283974838E-2</v>
      </c>
      <c r="G29" s="121"/>
      <c r="H29" s="122"/>
      <c r="I29" s="121"/>
    </row>
    <row r="30" spans="1:9" s="41" customFormat="1" ht="18" customHeight="1" x14ac:dyDescent="0.15">
      <c r="A30" s="123" t="s">
        <v>46</v>
      </c>
      <c r="B30" s="124" t="s">
        <v>47</v>
      </c>
      <c r="C30" s="125">
        <f>Bezug!C30</f>
        <v>0.05</v>
      </c>
      <c r="D30" s="126">
        <f t="shared" si="2"/>
        <v>39500</v>
      </c>
      <c r="E30" s="127">
        <f>(((1*(((1+0.045)^99-1)/(0.045)))/(1+0.045)^99)-((1*(((1+0.045)^SUM(B$26:B29)-1)/(0.045)))/(1+0.045)^SUM(B$26:B29)))*D30</f>
        <v>194131.99482496973</v>
      </c>
      <c r="F30" s="133">
        <f>SUM(E26:E30)/18.6</f>
        <v>39821.674004340122</v>
      </c>
      <c r="G30" s="121"/>
      <c r="H30" s="122"/>
      <c r="I30" s="121"/>
    </row>
    <row r="31" spans="1:9" s="41" customFormat="1" ht="18" customHeight="1" x14ac:dyDescent="0.15">
      <c r="B31" s="42"/>
      <c r="C31" s="43"/>
      <c r="D31" s="44"/>
      <c r="E31" s="45"/>
      <c r="F31" s="45"/>
      <c r="H31" s="46"/>
    </row>
    <row r="32" spans="1:9" ht="18" customHeight="1" x14ac:dyDescent="0.15">
      <c r="A32" s="47" t="s">
        <v>48</v>
      </c>
      <c r="B32" s="90" t="s">
        <v>15</v>
      </c>
      <c r="C32" s="89" t="s">
        <v>27</v>
      </c>
      <c r="D32" s="6"/>
      <c r="E32" s="6"/>
      <c r="F32" s="6"/>
      <c r="G32" s="6"/>
      <c r="H32" s="48"/>
      <c r="I32" s="6"/>
    </row>
    <row r="33" spans="1:9" ht="18" customHeight="1" x14ac:dyDescent="0.15">
      <c r="A33" s="6" t="s">
        <v>49</v>
      </c>
      <c r="B33" s="111">
        <f>Bezug!B33</f>
        <v>630000</v>
      </c>
      <c r="C33" s="50"/>
      <c r="D33" s="48" t="s">
        <v>50</v>
      </c>
      <c r="E33" s="6"/>
      <c r="F33" s="48"/>
      <c r="G33" s="6"/>
      <c r="H33" s="48"/>
      <c r="I33" s="6"/>
    </row>
    <row r="34" spans="1:9" ht="18" customHeight="1" thickBot="1" x14ac:dyDescent="0.2">
      <c r="A34" s="6" t="s">
        <v>51</v>
      </c>
      <c r="B34" s="112">
        <f>Bezug!B34</f>
        <v>61000</v>
      </c>
      <c r="C34" s="51">
        <f>D34+F34+H34</f>
        <v>5.5000000000000007E-2</v>
      </c>
      <c r="D34" s="52">
        <f>D21</f>
        <v>3.5000000000000003E-2</v>
      </c>
      <c r="E34" s="6" t="s">
        <v>52</v>
      </c>
      <c r="F34" s="53">
        <v>0.02</v>
      </c>
      <c r="G34" s="6" t="s">
        <v>32</v>
      </c>
      <c r="H34" s="53">
        <v>0</v>
      </c>
      <c r="I34" s="6" t="s">
        <v>33</v>
      </c>
    </row>
    <row r="35" spans="1:9" ht="18" hidden="1" customHeight="1" x14ac:dyDescent="0.15">
      <c r="A35" s="155" t="s">
        <v>113</v>
      </c>
      <c r="B35" s="113">
        <f>Bezug!B35</f>
        <v>0</v>
      </c>
      <c r="C35" s="50"/>
      <c r="D35" s="48"/>
      <c r="E35" s="6"/>
      <c r="F35" s="48"/>
      <c r="G35" s="6"/>
      <c r="H35" s="48"/>
      <c r="I35" s="6"/>
    </row>
    <row r="36" spans="1:9" ht="18" customHeight="1" x14ac:dyDescent="0.15">
      <c r="A36" s="6" t="s">
        <v>53</v>
      </c>
      <c r="B36" s="113">
        <f>Bezug!B36</f>
        <v>850000</v>
      </c>
      <c r="C36" s="54"/>
      <c r="D36" s="6" t="s">
        <v>54</v>
      </c>
      <c r="E36" s="6"/>
      <c r="F36" s="6"/>
      <c r="G36" s="6"/>
      <c r="H36" s="6"/>
      <c r="I36" s="6"/>
    </row>
    <row r="37" spans="1:9" ht="18" customHeight="1" x14ac:dyDescent="0.15">
      <c r="A37" s="6" t="s">
        <v>55</v>
      </c>
      <c r="B37" s="113">
        <f>Bezug!B37</f>
        <v>55000</v>
      </c>
      <c r="C37" s="50"/>
      <c r="D37" s="6"/>
      <c r="E37" s="6"/>
      <c r="F37" s="6"/>
      <c r="G37" s="6"/>
      <c r="H37" s="6"/>
      <c r="I37" s="6"/>
    </row>
    <row r="38" spans="1:9" ht="18" customHeight="1" x14ac:dyDescent="0.15">
      <c r="A38" s="6" t="s">
        <v>57</v>
      </c>
      <c r="B38" s="114">
        <f>Bezug!B38</f>
        <v>4000</v>
      </c>
      <c r="C38" s="55"/>
      <c r="D38" s="6" t="s">
        <v>103</v>
      </c>
      <c r="E38" s="6"/>
      <c r="F38" s="6"/>
      <c r="G38" s="6"/>
      <c r="H38" s="6"/>
      <c r="I38" s="6"/>
    </row>
    <row r="39" spans="1:9" ht="18" customHeight="1" thickBot="1" x14ac:dyDescent="0.2">
      <c r="A39" s="56" t="s">
        <v>59</v>
      </c>
      <c r="B39" s="115">
        <f>Bezug!B39</f>
        <v>1600000</v>
      </c>
      <c r="C39" s="6"/>
      <c r="D39" s="6"/>
      <c r="E39" s="6"/>
      <c r="F39" s="6"/>
      <c r="G39" s="6"/>
      <c r="H39" s="6"/>
      <c r="I39" s="6"/>
    </row>
    <row r="40" spans="1:9" ht="18" customHeight="1" thickBot="1" x14ac:dyDescent="0.2">
      <c r="A40" s="15"/>
      <c r="B40" s="57"/>
    </row>
    <row r="41" spans="1:9" ht="18" customHeight="1" thickBot="1" x14ac:dyDescent="0.2">
      <c r="A41" s="28" t="str">
        <f>Bezug!A41</f>
        <v>Finanzierung Stiftung trias</v>
      </c>
      <c r="B41" s="147" t="str">
        <f>Bezug!B41</f>
        <v>€</v>
      </c>
      <c r="C41" s="148" t="str">
        <f>Bezug!C41</f>
        <v>Kommentar</v>
      </c>
    </row>
    <row r="42" spans="1:9" ht="18" customHeight="1" x14ac:dyDescent="0.15">
      <c r="A42" s="58" t="str">
        <f>Bezug!A42</f>
        <v>Zustiftung seitens Projekt</v>
      </c>
      <c r="B42" s="103">
        <f>Bezug!B42</f>
        <v>260000</v>
      </c>
      <c r="C42" s="168">
        <f>(B42)/B45</f>
        <v>0.32911392405063289</v>
      </c>
    </row>
    <row r="43" spans="1:9" ht="18" customHeight="1" x14ac:dyDescent="0.15">
      <c r="A43" s="58" t="str">
        <f>Bezug!A43</f>
        <v>Sondervermögen f. München + Umg.</v>
      </c>
      <c r="B43" s="103">
        <f>Bezug!B43</f>
        <v>0</v>
      </c>
      <c r="C43" s="168">
        <f>(B43)/B45</f>
        <v>0</v>
      </c>
    </row>
    <row r="44" spans="1:9" ht="18" customHeight="1" thickBot="1" x14ac:dyDescent="0.2">
      <c r="A44" s="119" t="str">
        <f>Bezug!A44</f>
        <v>sonstige Mittel der Stiftung + Partner</v>
      </c>
      <c r="B44" s="164">
        <f>Bezug!B44</f>
        <v>530000</v>
      </c>
    </row>
    <row r="45" spans="1:9" ht="18" customHeight="1" thickBot="1" x14ac:dyDescent="0.2">
      <c r="A45" s="28" t="str">
        <f>Bezug!A45</f>
        <v>Summe</v>
      </c>
      <c r="B45" s="165">
        <f>Bezug!B45</f>
        <v>790000</v>
      </c>
    </row>
    <row r="46" spans="1:9" s="41" customFormat="1" ht="18" customHeight="1" thickBot="1" x14ac:dyDescent="0.2">
      <c r="B46" s="42"/>
      <c r="C46" s="4"/>
      <c r="D46" s="4"/>
      <c r="E46" s="4"/>
      <c r="F46" s="4"/>
      <c r="G46" s="4"/>
    </row>
    <row r="47" spans="1:9" ht="18" customHeight="1" thickBot="1" x14ac:dyDescent="0.2">
      <c r="A47" s="47" t="str">
        <f>Bezug!A47</f>
        <v>Finanzierung Projekt</v>
      </c>
      <c r="B47" s="178" t="str">
        <f>Bezug!B47</f>
        <v>€</v>
      </c>
      <c r="C47" s="170" t="str">
        <f>Bezug!C47</f>
        <v>Kommentar</v>
      </c>
      <c r="D47" s="78" t="str">
        <f>Bezug!D47</f>
        <v>Zins p.a.</v>
      </c>
      <c r="E47" s="79" t="str">
        <f>Bezug!E47</f>
        <v>Tilgung</v>
      </c>
      <c r="F47" s="79" t="str">
        <f>Bezug!F47</f>
        <v>Zins fest für</v>
      </c>
      <c r="G47" s="80" t="str">
        <f>Bezug!G47</f>
        <v>Kapitaldienst p.a.</v>
      </c>
      <c r="H47" s="181"/>
      <c r="I47" s="180" t="str">
        <f>Bezug!I47</f>
        <v>Saldo nach dieser Phase</v>
      </c>
    </row>
    <row r="48" spans="1:9" ht="18" customHeight="1" x14ac:dyDescent="0.15">
      <c r="A48" s="60" t="str">
        <f>Bezug!A48</f>
        <v>eG Anteile</v>
      </c>
      <c r="B48" s="109">
        <f>Bezug!B48</f>
        <v>1000000</v>
      </c>
      <c r="C48" s="172">
        <f>Bezug!C48</f>
        <v>0.625</v>
      </c>
      <c r="D48" s="191">
        <f>B48/B10</f>
        <v>3125</v>
      </c>
      <c r="E48" s="183"/>
      <c r="F48" s="83"/>
      <c r="G48" s="84"/>
      <c r="H48" s="83"/>
      <c r="I48" s="83"/>
    </row>
    <row r="49" spans="1:256" ht="18" hidden="1" customHeight="1" x14ac:dyDescent="0.15">
      <c r="A49" s="6" t="str">
        <f>Bezug!A49</f>
        <v>Private Darlehen</v>
      </c>
      <c r="B49" s="169">
        <f>Bezug!B49</f>
        <v>0</v>
      </c>
      <c r="C49" s="49">
        <f>Bezug!C49</f>
        <v>0</v>
      </c>
      <c r="D49" s="184">
        <f>Bezug!D49</f>
        <v>0</v>
      </c>
      <c r="E49" s="184">
        <f>Bezug!E49</f>
        <v>0</v>
      </c>
      <c r="F49" s="171">
        <f>Bezug!F49</f>
        <v>0</v>
      </c>
      <c r="G49" s="162">
        <f>Bezug!G49</f>
        <v>0</v>
      </c>
      <c r="H49" s="49"/>
      <c r="I49" s="49"/>
      <c r="J49" s="4" t="s">
        <v>74</v>
      </c>
    </row>
    <row r="50" spans="1:256" ht="18" hidden="1" customHeight="1" x14ac:dyDescent="0.15">
      <c r="A50" s="6" t="str">
        <f>Bezug!A50</f>
        <v>Öffentliche Mittel:</v>
      </c>
      <c r="B50" s="169">
        <f>Bezug!B50</f>
        <v>0</v>
      </c>
      <c r="C50" s="49">
        <f>Bezug!C50</f>
        <v>0</v>
      </c>
      <c r="D50" s="184">
        <f>Bezug!D50</f>
        <v>0</v>
      </c>
      <c r="E50" s="184">
        <f>Bezug!E50</f>
        <v>0</v>
      </c>
      <c r="F50" s="171">
        <f>Bezug!F50</f>
        <v>0</v>
      </c>
      <c r="G50" s="162">
        <f>Bezug!G50</f>
        <v>0</v>
      </c>
      <c r="H50" s="49"/>
      <c r="I50" s="49"/>
    </row>
    <row r="51" spans="1:256" ht="18" hidden="1" customHeight="1" x14ac:dyDescent="0.15">
      <c r="A51" s="6" t="str">
        <f>Bezug!A51</f>
        <v>GLS Bürgschaftsdarlehen</v>
      </c>
      <c r="B51" s="169">
        <f>Bezug!B51</f>
        <v>0</v>
      </c>
      <c r="C51" s="49">
        <f>Bezug!C51</f>
        <v>0</v>
      </c>
      <c r="D51" s="184">
        <f>Bezug!D51</f>
        <v>0</v>
      </c>
      <c r="E51" s="184">
        <f>Bezug!E51</f>
        <v>0</v>
      </c>
      <c r="F51" s="171">
        <f>Bezug!F51</f>
        <v>0</v>
      </c>
      <c r="G51" s="162">
        <f>Bezug!G51</f>
        <v>0</v>
      </c>
      <c r="H51" s="49"/>
      <c r="I51" s="49"/>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row>
    <row r="52" spans="1:256" ht="18" customHeight="1" x14ac:dyDescent="0.15">
      <c r="A52" s="6" t="str">
        <f>Bezug!A52</f>
        <v>GLS Grundschulddarlehen</v>
      </c>
      <c r="B52" s="169">
        <f>Bezug!B52</f>
        <v>600000</v>
      </c>
      <c r="C52" s="49"/>
      <c r="D52" s="184">
        <f>Bezug!D52</f>
        <v>3.5000000000000003E-2</v>
      </c>
      <c r="E52" s="184">
        <f>Bezug!E52</f>
        <v>1.4998347315924903E-2</v>
      </c>
      <c r="F52" s="171" t="str">
        <f>Bezug!F52</f>
        <v>2500,00 €/m²</v>
      </c>
      <c r="G52" s="162">
        <f>-SUM(D52:E52)*B52</f>
        <v>-29999.008389554947</v>
      </c>
      <c r="H52" s="49" t="str">
        <f>Bezug!$H$52</f>
        <v>37 J.</v>
      </c>
      <c r="I52" s="113">
        <f>B52+CUMPRINC(D52,34,B52,1,17,0)</f>
        <v>385306.02604744583</v>
      </c>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row>
    <row r="53" spans="1:256" ht="18" hidden="1" customHeight="1" x14ac:dyDescent="0.15">
      <c r="A53" s="6" t="str">
        <f>Bezug!A53</f>
        <v xml:space="preserve">KfW-CO²-Einsparung u. ä. </v>
      </c>
      <c r="B53" s="110">
        <f>Bezug!B53</f>
        <v>0</v>
      </c>
      <c r="C53" s="61">
        <f>Bezug!C53</f>
        <v>0</v>
      </c>
      <c r="D53" s="185">
        <f>Bezug!D53</f>
        <v>0</v>
      </c>
      <c r="E53" s="185">
        <f>Bezug!E53</f>
        <v>0</v>
      </c>
      <c r="F53" s="81">
        <f>Bezug!F53</f>
        <v>0</v>
      </c>
      <c r="G53" s="82">
        <f>Bezug!G53</f>
        <v>0</v>
      </c>
      <c r="H53" s="77"/>
      <c r="I53" s="61"/>
      <c r="J53" s="4" t="s">
        <v>80</v>
      </c>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row>
    <row r="54" spans="1:256" ht="18" customHeight="1" thickBot="1" x14ac:dyDescent="0.2">
      <c r="A54" s="6" t="str">
        <f>Bezug!A54</f>
        <v>Sonstige Mittel:</v>
      </c>
      <c r="B54" s="110">
        <f>Bezug!B54</f>
        <v>0</v>
      </c>
      <c r="C54" s="64"/>
      <c r="D54" s="186"/>
      <c r="E54" s="187"/>
      <c r="F54" s="63"/>
      <c r="G54" s="72">
        <f>Bezug!G54</f>
        <v>0</v>
      </c>
      <c r="H54" s="65"/>
      <c r="I54" s="64"/>
    </row>
    <row r="55" spans="1:256" ht="18" customHeight="1" thickBot="1" x14ac:dyDescent="0.2">
      <c r="A55" s="47" t="str">
        <f>Bezug!A55</f>
        <v>Gesamtfinanzierung</v>
      </c>
      <c r="B55" s="166">
        <f>Bezug!B55</f>
        <v>1600000</v>
      </c>
      <c r="E55" s="7"/>
      <c r="F55" s="7"/>
      <c r="G55" s="72">
        <f>Bezug!G55</f>
        <v>-29999.008389554947</v>
      </c>
      <c r="H55" s="11"/>
    </row>
    <row r="56" spans="1:256" ht="18" customHeight="1" thickBot="1" x14ac:dyDescent="0.2">
      <c r="A56" s="15"/>
      <c r="G56" s="15"/>
      <c r="I56" s="157"/>
    </row>
    <row r="57" spans="1:256" ht="18" customHeight="1" thickBot="1" x14ac:dyDescent="0.2">
      <c r="A57" s="47" t="str">
        <f>Bezug!A57</f>
        <v>Einnahmen / Ausgaben</v>
      </c>
      <c r="B57" s="66" t="str">
        <f>Bezug!B57</f>
        <v>€</v>
      </c>
      <c r="C57" s="73"/>
      <c r="D57" s="182" t="str">
        <f>Bezug!D57</f>
        <v>Konkret angesetzt</v>
      </c>
    </row>
    <row r="58" spans="1:256" ht="18" customHeight="1" x14ac:dyDescent="0.15">
      <c r="A58" s="6" t="s">
        <v>85</v>
      </c>
      <c r="B58" s="110">
        <f>F17</f>
        <v>76800</v>
      </c>
      <c r="C58" s="73"/>
      <c r="D58" s="67"/>
    </row>
    <row r="59" spans="1:256" ht="18" customHeight="1" x14ac:dyDescent="0.15">
      <c r="A59" s="6" t="s">
        <v>86</v>
      </c>
      <c r="B59" s="110"/>
      <c r="C59" s="73"/>
      <c r="D59" s="68"/>
    </row>
    <row r="60" spans="1:256" ht="18" customHeight="1" x14ac:dyDescent="0.15">
      <c r="A60" s="6" t="s">
        <v>87</v>
      </c>
      <c r="B60" s="110">
        <f>-D28</f>
        <v>-33180</v>
      </c>
      <c r="C60" s="73"/>
      <c r="D60" s="69"/>
    </row>
    <row r="61" spans="1:256" ht="18" customHeight="1" x14ac:dyDescent="0.15">
      <c r="A61" s="6" t="s">
        <v>88</v>
      </c>
      <c r="B61" s="110">
        <f>-D61*B17*12</f>
        <v>-3840</v>
      </c>
      <c r="C61" s="73"/>
      <c r="D61" s="68">
        <v>1</v>
      </c>
      <c r="E61" s="4" t="s">
        <v>106</v>
      </c>
    </row>
    <row r="62" spans="1:256" ht="18" customHeight="1" x14ac:dyDescent="0.15">
      <c r="A62" s="6" t="s">
        <v>107</v>
      </c>
      <c r="B62" s="110">
        <f>-D62</f>
        <v>-9241.5933666700003</v>
      </c>
      <c r="C62" s="59"/>
      <c r="D62" s="154">
        <f>Bezug!D62*POWER(1.02,10)</f>
        <v>9241.5933666700003</v>
      </c>
      <c r="E62" s="154"/>
      <c r="F62" s="175"/>
      <c r="G62" s="176"/>
      <c r="H62" s="176"/>
      <c r="I62" s="177"/>
    </row>
    <row r="63" spans="1:256" ht="18" customHeight="1" x14ac:dyDescent="0.15">
      <c r="A63" s="6" t="s">
        <v>93</v>
      </c>
      <c r="B63" s="110">
        <f>B58*(-D63)</f>
        <v>-1152</v>
      </c>
      <c r="C63" s="73"/>
      <c r="D63" s="107">
        <v>1.4999999999999999E-2</v>
      </c>
      <c r="E63" s="174"/>
    </row>
    <row r="64" spans="1:256" ht="18" customHeight="1" x14ac:dyDescent="0.15">
      <c r="A64" s="6" t="s">
        <v>94</v>
      </c>
      <c r="B64" s="110">
        <f>G55</f>
        <v>-29999.008389554947</v>
      </c>
      <c r="C64" s="73"/>
      <c r="D64" s="153">
        <f>-(B61+B62+B63)/B58</f>
        <v>0.18533324696184897</v>
      </c>
      <c r="E64" s="76" t="s">
        <v>109</v>
      </c>
      <c r="F64" s="5" t="s">
        <v>96</v>
      </c>
    </row>
    <row r="65" spans="1:4" ht="18" customHeight="1" x14ac:dyDescent="0.15">
      <c r="A65" s="6" t="s">
        <v>110</v>
      </c>
      <c r="B65" s="110"/>
      <c r="C65" s="74"/>
      <c r="D65" s="70"/>
    </row>
    <row r="66" spans="1:4" ht="18" customHeight="1" x14ac:dyDescent="0.15">
      <c r="A66" s="47" t="str">
        <f>IF(B66&lt;0,"Unterdeckung","Überschuss")</f>
        <v>Unterdeckung</v>
      </c>
      <c r="B66" s="167">
        <f>SUM(B58:B65)</f>
        <v>-612.60175622494717</v>
      </c>
    </row>
    <row r="67" spans="1:4" ht="18" customHeight="1" x14ac:dyDescent="0.15">
      <c r="B67" s="71">
        <f>(B66/B10/12)</f>
        <v>-0.15953170735024666</v>
      </c>
    </row>
    <row r="68" spans="1:4" ht="18" customHeight="1" x14ac:dyDescent="0.15">
      <c r="A68" s="47" t="s">
        <v>111</v>
      </c>
      <c r="B68" s="108">
        <f>C10-B67</f>
        <v>20.159531707350247</v>
      </c>
      <c r="C68" s="21"/>
      <c r="D68" s="92"/>
    </row>
    <row r="69" spans="1:4" ht="18" customHeight="1" x14ac:dyDescent="0.15"/>
    <row r="70" spans="1:4" ht="18" customHeight="1" x14ac:dyDescent="0.15"/>
    <row r="71" spans="1:4" ht="18" customHeight="1" x14ac:dyDescent="0.15"/>
    <row r="72" spans="1:4" ht="18" customHeight="1" x14ac:dyDescent="0.2">
      <c r="B72" s="156">
        <v>270836.43</v>
      </c>
    </row>
    <row r="73" spans="1:4" ht="18" customHeight="1" x14ac:dyDescent="0.2">
      <c r="B73" s="156">
        <v>30422</v>
      </c>
    </row>
    <row r="74" spans="1:4" ht="18" customHeight="1" x14ac:dyDescent="0.15"/>
    <row r="75" spans="1:4" ht="18" customHeight="1" x14ac:dyDescent="0.15"/>
    <row r="76" spans="1:4" ht="18" customHeight="1" x14ac:dyDescent="0.15"/>
    <row r="77" spans="1:4" ht="18" customHeight="1" x14ac:dyDescent="0.15"/>
    <row r="78" spans="1:4" ht="18" customHeight="1" x14ac:dyDescent="0.15"/>
    <row r="79" spans="1:4" ht="18" customHeight="1" x14ac:dyDescent="0.15"/>
    <row r="80" spans="1:4"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sheetData>
  <pageMargins left="0.5" right="0.5" top="0.5" bottom="0.5" header="0" footer="0"/>
  <pageSetup paperSize="9" scale="60" orientation="landscape" horizontalDpi="360" verticalDpi="360"/>
  <headerFooter alignWithMargins="0">
    <oddFooter xml:space="preserve">&amp;L
&amp;C Stiftung trias </oddFooter>
  </headerFooter>
  <rowBreaks count="1" manualBreakCount="1">
    <brk id="66" max="9" man="1"/>
  </rowBreaks>
  <colBreaks count="1" manualBreakCount="1">
    <brk id="11" max="1048575" man="1"/>
  </colBreaks>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9183F-8695-4BEC-9965-2D434186FDEB}">
  <dimension ref="A1:IV119"/>
  <sheetViews>
    <sheetView showOutlineSymbols="0" topLeftCell="A24" zoomScaleNormal="100" zoomScalePageLayoutView="80" workbookViewId="0">
      <selection activeCell="D63" sqref="D63"/>
    </sheetView>
  </sheetViews>
  <sheetFormatPr baseColWidth="10" defaultColWidth="9.5703125" defaultRowHeight="14" x14ac:dyDescent="0.15"/>
  <cols>
    <col min="1" max="1" width="31.5703125" style="4" customWidth="1"/>
    <col min="2" max="2" width="15.5703125" style="4" customWidth="1"/>
    <col min="3" max="3" width="14.42578125" style="4" customWidth="1"/>
    <col min="4" max="4" width="16.5703125" style="4" customWidth="1"/>
    <col min="5" max="5" width="18.42578125" style="4" customWidth="1"/>
    <col min="6" max="6" width="15.42578125" style="4" customWidth="1"/>
    <col min="7" max="7" width="14.5703125" style="4" customWidth="1"/>
    <col min="8" max="8" width="10.5703125" style="4" customWidth="1"/>
    <col min="9" max="9" width="26.5703125" style="4" customWidth="1"/>
    <col min="10" max="10" width="16.28515625" style="4" customWidth="1"/>
    <col min="11" max="16384" width="9.5703125" style="4"/>
  </cols>
  <sheetData>
    <row r="1" spans="1:256" ht="18" customHeight="1" x14ac:dyDescent="0.15">
      <c r="A1" s="1" t="s">
        <v>0</v>
      </c>
      <c r="B1" s="2"/>
      <c r="C1" s="2"/>
      <c r="D1" s="2"/>
      <c r="E1" s="2"/>
      <c r="F1" s="2"/>
      <c r="G1" s="2"/>
      <c r="H1" s="2"/>
      <c r="I1" s="2"/>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18" customHeight="1" x14ac:dyDescent="0.15">
      <c r="E2" s="5"/>
    </row>
    <row r="3" spans="1:256" ht="18" customHeight="1" x14ac:dyDescent="0.15">
      <c r="A3" s="5" t="s">
        <v>1</v>
      </c>
      <c r="B3" s="4" t="s">
        <v>117</v>
      </c>
      <c r="E3" s="5" t="s">
        <v>112</v>
      </c>
      <c r="G3" s="6" t="str">
        <f>'Wohnphase 1'!$G$3</f>
        <v>Wohnraumschiff (convex us eG)</v>
      </c>
      <c r="H3" s="6"/>
      <c r="I3" s="6"/>
    </row>
    <row r="4" spans="1:256" ht="18" customHeight="1" x14ac:dyDescent="0.15">
      <c r="B4" s="7"/>
      <c r="C4" s="7"/>
      <c r="D4" s="7"/>
      <c r="G4" s="7"/>
      <c r="H4" s="7"/>
      <c r="I4" s="7"/>
    </row>
    <row r="5" spans="1:256" ht="18" customHeight="1" x14ac:dyDescent="0.15"/>
    <row r="6" spans="1:256" ht="18" customHeight="1" x14ac:dyDescent="0.15">
      <c r="A6" s="8" t="s">
        <v>7</v>
      </c>
      <c r="B6" s="9" t="s">
        <v>8</v>
      </c>
      <c r="C6" s="10" t="s">
        <v>9</v>
      </c>
      <c r="D6" s="11"/>
      <c r="E6" s="12" t="s">
        <v>10</v>
      </c>
      <c r="G6" s="13" t="s">
        <v>11</v>
      </c>
      <c r="H6" s="14"/>
    </row>
    <row r="7" spans="1:256" ht="18" customHeight="1" x14ac:dyDescent="0.15">
      <c r="A7" s="15" t="s">
        <v>12</v>
      </c>
      <c r="B7" s="104">
        <f>Umbauphase!B7</f>
        <v>200</v>
      </c>
      <c r="C7" s="97">
        <f>Umbauphase!C7</f>
        <v>6500</v>
      </c>
      <c r="D7" s="16" t="s">
        <v>13</v>
      </c>
      <c r="E7" s="103">
        <f>ROUNDUP(B7*C7,-4)</f>
        <v>1300000</v>
      </c>
    </row>
    <row r="8" spans="1:256" ht="18" customHeight="1" x14ac:dyDescent="0.15">
      <c r="A8" s="4" t="s">
        <v>14</v>
      </c>
      <c r="B8" s="18">
        <v>3</v>
      </c>
      <c r="C8" s="19"/>
      <c r="D8" s="23"/>
      <c r="F8" s="21" t="s">
        <v>15</v>
      </c>
    </row>
    <row r="9" spans="1:256" ht="18" customHeight="1" x14ac:dyDescent="0.15">
      <c r="A9" s="4" t="s">
        <v>16</v>
      </c>
      <c r="B9" s="18"/>
      <c r="C9" s="22"/>
      <c r="D9" s="91"/>
      <c r="F9" s="24" t="s">
        <v>17</v>
      </c>
      <c r="G9" s="11"/>
    </row>
    <row r="10" spans="1:256" ht="18" customHeight="1" x14ac:dyDescent="0.15">
      <c r="A10" s="25" t="s">
        <v>18</v>
      </c>
      <c r="B10" s="95">
        <f>'Wohnphase 1'!$B$10</f>
        <v>320</v>
      </c>
      <c r="C10" s="102">
        <v>22</v>
      </c>
      <c r="D10" s="100">
        <f>B10*C10</f>
        <v>7040</v>
      </c>
      <c r="E10" s="23" t="s">
        <v>19</v>
      </c>
      <c r="F10" s="98">
        <f>D10*12</f>
        <v>84480</v>
      </c>
      <c r="G10" s="20"/>
      <c r="H10" s="204">
        <v>17.05</v>
      </c>
      <c r="I10" s="205" t="s">
        <v>114</v>
      </c>
      <c r="J10" s="205"/>
    </row>
    <row r="11" spans="1:256" ht="18" hidden="1" customHeight="1" x14ac:dyDescent="0.15">
      <c r="A11" s="25" t="s">
        <v>20</v>
      </c>
      <c r="B11" s="95"/>
      <c r="C11" s="102">
        <v>12</v>
      </c>
      <c r="D11" s="100">
        <f>B11*C11</f>
        <v>0</v>
      </c>
      <c r="E11" s="23" t="s">
        <v>19</v>
      </c>
      <c r="F11" s="98">
        <f>D11*12</f>
        <v>0</v>
      </c>
      <c r="G11" s="20"/>
      <c r="H11" s="205"/>
      <c r="I11" s="205"/>
      <c r="J11" s="205"/>
    </row>
    <row r="12" spans="1:256" ht="18" hidden="1" customHeight="1" x14ac:dyDescent="0.15">
      <c r="A12" s="25" t="s">
        <v>21</v>
      </c>
      <c r="B12" s="95"/>
      <c r="C12" s="102">
        <v>6</v>
      </c>
      <c r="D12" s="100">
        <f t="shared" ref="D12:D14" si="0">B12*C12</f>
        <v>0</v>
      </c>
      <c r="E12" s="23" t="s">
        <v>19</v>
      </c>
      <c r="F12" s="98">
        <f t="shared" ref="F12:F14" si="1">D12*12</f>
        <v>0</v>
      </c>
      <c r="G12" s="20"/>
      <c r="H12" s="205"/>
      <c r="I12" s="205"/>
      <c r="J12" s="205"/>
    </row>
    <row r="13" spans="1:256" ht="18" hidden="1" customHeight="1" x14ac:dyDescent="0.15">
      <c r="A13" s="25" t="s">
        <v>22</v>
      </c>
      <c r="B13" s="95"/>
      <c r="C13" s="102">
        <v>3.5</v>
      </c>
      <c r="D13" s="100">
        <f t="shared" si="0"/>
        <v>0</v>
      </c>
      <c r="E13" s="23" t="s">
        <v>19</v>
      </c>
      <c r="F13" s="98">
        <f t="shared" si="1"/>
        <v>0</v>
      </c>
      <c r="G13" s="20"/>
      <c r="H13" s="205"/>
      <c r="I13" s="205"/>
      <c r="J13" s="205"/>
    </row>
    <row r="14" spans="1:256" ht="18" hidden="1" customHeight="1" x14ac:dyDescent="0.15">
      <c r="A14" s="25" t="s">
        <v>23</v>
      </c>
      <c r="B14" s="95"/>
      <c r="C14" s="102">
        <v>3.5</v>
      </c>
      <c r="D14" s="100">
        <f t="shared" si="0"/>
        <v>0</v>
      </c>
      <c r="E14" s="23" t="s">
        <v>19</v>
      </c>
      <c r="F14" s="98">
        <f t="shared" si="1"/>
        <v>0</v>
      </c>
      <c r="G14" s="20"/>
      <c r="H14" s="205"/>
      <c r="I14" s="205"/>
      <c r="J14" s="205"/>
    </row>
    <row r="15" spans="1:256" ht="18" customHeight="1" x14ac:dyDescent="0.15">
      <c r="A15" s="25"/>
      <c r="B15" s="95"/>
      <c r="C15" s="102"/>
      <c r="D15" s="100">
        <f>B15*C15</f>
        <v>0</v>
      </c>
      <c r="E15" s="23" t="s">
        <v>19</v>
      </c>
      <c r="F15" s="98">
        <f>D15*12</f>
        <v>0</v>
      </c>
      <c r="G15" s="20"/>
      <c r="H15" s="206">
        <f>H10*(1.02)^20-H10</f>
        <v>8.2854031014309406</v>
      </c>
      <c r="I15" s="207" t="s">
        <v>115</v>
      </c>
      <c r="J15" s="209"/>
    </row>
    <row r="16" spans="1:256" ht="18" customHeight="1" thickBot="1" x14ac:dyDescent="0.2">
      <c r="A16" s="25" t="s">
        <v>24</v>
      </c>
      <c r="B16" s="95"/>
      <c r="C16" s="102"/>
      <c r="D16" s="100">
        <f>B16*C16</f>
        <v>0</v>
      </c>
      <c r="E16" s="23" t="s">
        <v>19</v>
      </c>
      <c r="F16" s="98">
        <f>D16*12</f>
        <v>0</v>
      </c>
      <c r="G16" s="20"/>
      <c r="H16" s="208">
        <f>SUM(H10:H15)</f>
        <v>25.335403101430941</v>
      </c>
      <c r="I16" s="214" t="s">
        <v>116</v>
      </c>
      <c r="J16" s="214"/>
    </row>
    <row r="17" spans="1:10" ht="18" customHeight="1" x14ac:dyDescent="0.15">
      <c r="A17" s="26" t="s">
        <v>25</v>
      </c>
      <c r="B17" s="96">
        <f>SUM(B10:B16)</f>
        <v>320</v>
      </c>
      <c r="C17" s="97"/>
      <c r="D17" s="101">
        <f>SUM(D10:D16)</f>
        <v>7040</v>
      </c>
      <c r="E17" s="27" t="s">
        <v>19</v>
      </c>
      <c r="F17" s="99">
        <f>SUM(F10:F16)</f>
        <v>84480</v>
      </c>
      <c r="G17" s="11"/>
      <c r="H17" s="205"/>
      <c r="I17" s="215"/>
      <c r="J17" s="215"/>
    </row>
    <row r="18" spans="1:10" ht="18" customHeight="1" x14ac:dyDescent="0.15"/>
    <row r="19" spans="1:10" ht="18" customHeight="1" x14ac:dyDescent="0.15">
      <c r="A19" s="28" t="s">
        <v>26</v>
      </c>
      <c r="B19" s="29" t="s">
        <v>15</v>
      </c>
      <c r="C19" s="87" t="s">
        <v>27</v>
      </c>
      <c r="D19" s="30"/>
      <c r="E19" s="30"/>
      <c r="F19" s="30"/>
      <c r="G19" s="30"/>
      <c r="H19" s="30"/>
      <c r="I19" s="30"/>
    </row>
    <row r="20" spans="1:10" ht="18" customHeight="1" x14ac:dyDescent="0.15">
      <c r="A20" s="30" t="s">
        <v>28</v>
      </c>
      <c r="B20" s="31">
        <f>'Wohnphase 1'!B20</f>
        <v>1300000</v>
      </c>
      <c r="C20" s="88"/>
      <c r="D20" s="33" t="s">
        <v>29</v>
      </c>
      <c r="E20" s="33"/>
      <c r="F20" s="33"/>
      <c r="G20" s="33"/>
      <c r="H20" s="33"/>
      <c r="I20" s="30"/>
    </row>
    <row r="21" spans="1:10" ht="18" customHeight="1" x14ac:dyDescent="0.15">
      <c r="A21" s="30" t="s">
        <v>30</v>
      </c>
      <c r="B21" s="17">
        <f>ROUNDUP(B20*(D21+F21+H21),-4)</f>
        <v>120000</v>
      </c>
      <c r="C21" s="86">
        <f>D21+F21+H21</f>
        <v>9.0700000000000003E-2</v>
      </c>
      <c r="D21" s="35">
        <v>3.5000000000000003E-2</v>
      </c>
      <c r="E21" s="33" t="s">
        <v>31</v>
      </c>
      <c r="F21" s="36">
        <v>0.02</v>
      </c>
      <c r="G21" s="33" t="s">
        <v>32</v>
      </c>
      <c r="H21" s="36">
        <f>Umbauphase!H21</f>
        <v>3.5700000000000003E-2</v>
      </c>
      <c r="I21" s="33" t="s">
        <v>33</v>
      </c>
    </row>
    <row r="22" spans="1:10" ht="18" customHeight="1" x14ac:dyDescent="0.15">
      <c r="A22" s="30" t="s">
        <v>34</v>
      </c>
      <c r="B22" s="17">
        <f>SUM(B20:B21)</f>
        <v>1420000</v>
      </c>
      <c r="C22" s="34"/>
      <c r="D22" s="37"/>
      <c r="E22" s="30"/>
      <c r="F22" s="37"/>
      <c r="G22" s="30"/>
      <c r="H22" s="37"/>
      <c r="I22" s="30"/>
    </row>
    <row r="23" spans="1:10" ht="18" customHeight="1" x14ac:dyDescent="0.15">
      <c r="A23" s="30" t="s">
        <v>102</v>
      </c>
      <c r="B23" s="38">
        <f>B22-B33</f>
        <v>790000</v>
      </c>
      <c r="C23" s="39"/>
      <c r="D23" s="30"/>
      <c r="E23" s="37"/>
      <c r="F23" s="30"/>
      <c r="G23" s="30"/>
      <c r="H23" s="30"/>
      <c r="I23" s="30"/>
    </row>
    <row r="24" spans="1:10" s="41" customFormat="1" ht="18" customHeight="1" x14ac:dyDescent="0.15">
      <c r="B24" s="42"/>
      <c r="C24" s="43"/>
      <c r="D24" s="44"/>
      <c r="E24" s="45"/>
      <c r="F24" s="45"/>
      <c r="H24" s="46"/>
    </row>
    <row r="25" spans="1:10" s="41" customFormat="1" ht="18" customHeight="1" x14ac:dyDescent="0.25">
      <c r="A25" s="145" t="s">
        <v>36</v>
      </c>
      <c r="B25" s="146" t="s">
        <v>37</v>
      </c>
      <c r="C25" s="144" t="s">
        <v>27</v>
      </c>
      <c r="D25" s="143" t="s">
        <v>38</v>
      </c>
      <c r="E25" s="128" t="s">
        <v>39</v>
      </c>
      <c r="F25" s="120" t="s">
        <v>40</v>
      </c>
      <c r="G25" s="121"/>
      <c r="H25" s="122"/>
      <c r="I25" s="121"/>
    </row>
    <row r="26" spans="1:10" s="41" customFormat="1" ht="18" customHeight="1" x14ac:dyDescent="0.15">
      <c r="A26" s="139" t="s">
        <v>41</v>
      </c>
      <c r="B26" s="140">
        <v>3</v>
      </c>
      <c r="C26" s="141">
        <f>'Wohnphase 1'!C26</f>
        <v>2.9000000000000001E-2</v>
      </c>
      <c r="D26" s="142">
        <f>MAX(1000,C26*$B$23)</f>
        <v>22910</v>
      </c>
      <c r="E26" s="127">
        <f>(((1*(((1+0.045)^B26-1)/(0.045)))/(1+0.045)^B26)-((1*(((1+0.045)^0-1)/(0.045)))/(1+0.045)^0))*D26</f>
        <v>62978.773357822836</v>
      </c>
      <c r="F26" s="130" t="s">
        <v>25</v>
      </c>
      <c r="G26" s="121"/>
      <c r="H26" s="122"/>
      <c r="I26" s="121"/>
    </row>
    <row r="27" spans="1:10" s="41" customFormat="1" ht="18" customHeight="1" x14ac:dyDescent="0.15">
      <c r="A27" s="123" t="s">
        <v>42</v>
      </c>
      <c r="B27" s="124">
        <v>7</v>
      </c>
      <c r="C27" s="125">
        <f>'Wohnphase 1'!C27</f>
        <v>3.9E-2</v>
      </c>
      <c r="D27" s="126">
        <f>MAX(1000,C27*$B$23)</f>
        <v>30810</v>
      </c>
      <c r="E27" s="127">
        <f>(((1*(((1+0.045)^SUM(B$26:B27)-1)/(0.045)))/(1+0.045)^SUM(B$26:B27))-((1*(((1+0.045)^B26-1)/(0.045)))/(1+0.045)^B26))*D27</f>
        <v>159095.25527969163</v>
      </c>
      <c r="F27" s="132">
        <f>SUM(E26:E30)</f>
        <v>740683.1364807263</v>
      </c>
      <c r="G27" s="121"/>
      <c r="H27" s="122"/>
      <c r="I27" s="121"/>
    </row>
    <row r="28" spans="1:10" s="41" customFormat="1" ht="18" customHeight="1" x14ac:dyDescent="0.15">
      <c r="A28" s="123" t="s">
        <v>43</v>
      </c>
      <c r="B28" s="124">
        <v>10</v>
      </c>
      <c r="C28" s="125">
        <f>'Wohnphase 1'!C28</f>
        <v>4.2000000000000003E-2</v>
      </c>
      <c r="D28" s="126">
        <f t="shared" ref="D28:D30" si="2">MAX(1000,C28*$B$23)</f>
        <v>33180</v>
      </c>
      <c r="E28" s="127">
        <f>(((1*(((1+0.045)^SUM(B$26:B28)-1)/(0.045)))/(1+0.045)^SUM(B$26:B28))-((1*(((1+0.045)^SUM(B$26:B27)-1)/(0.045)))/(1+0.045)^SUM(B$26:B27)))*D28</f>
        <v>169059.34234271824</v>
      </c>
      <c r="F28" s="131" t="s">
        <v>44</v>
      </c>
      <c r="G28" s="121"/>
      <c r="H28" s="122"/>
      <c r="I28" s="121"/>
    </row>
    <row r="29" spans="1:10" s="41" customFormat="1" ht="18" customHeight="1" x14ac:dyDescent="0.15">
      <c r="A29" s="94" t="s">
        <v>45</v>
      </c>
      <c r="B29" s="118">
        <v>13</v>
      </c>
      <c r="C29" s="117">
        <f>'Wohnphase 1'!C29</f>
        <v>4.9000000000000002E-2</v>
      </c>
      <c r="D29" s="116">
        <f t="shared" si="2"/>
        <v>38710</v>
      </c>
      <c r="E29" s="127">
        <f>(((1*(((1+0.045)^SUM(B$26:B29)-1)/(0.045)))/(1+0.045)^SUM(B$26:B29))-((1*(((1+0.045)^SUM(B$26:B28)-1)/(0.045)))/(1+0.045)^SUM(B$26:B28)))*D29</f>
        <v>155417.77067552376</v>
      </c>
      <c r="F29" s="129">
        <f>F30/B23</f>
        <v>5.0407182283974838E-2</v>
      </c>
      <c r="G29" s="121"/>
      <c r="H29" s="122"/>
      <c r="I29" s="121"/>
    </row>
    <row r="30" spans="1:10" s="41" customFormat="1" ht="18" customHeight="1" x14ac:dyDescent="0.15">
      <c r="A30" s="123" t="s">
        <v>46</v>
      </c>
      <c r="B30" s="124" t="s">
        <v>47</v>
      </c>
      <c r="C30" s="125">
        <f>'Wohnphase 1'!C30</f>
        <v>0.05</v>
      </c>
      <c r="D30" s="126">
        <f t="shared" si="2"/>
        <v>39500</v>
      </c>
      <c r="E30" s="127">
        <f>(((1*(((1+0.045)^99-1)/(0.045)))/(1+0.045)^99)-((1*(((1+0.045)^SUM(B$26:B29)-1)/(0.045)))/(1+0.045)^SUM(B$26:B29)))*D30</f>
        <v>194131.99482496973</v>
      </c>
      <c r="F30" s="133">
        <f>SUM(E26:E30)/18.6</f>
        <v>39821.674004340122</v>
      </c>
      <c r="G30" s="121"/>
      <c r="H30" s="122"/>
      <c r="I30" s="121"/>
    </row>
    <row r="31" spans="1:10" s="41" customFormat="1" ht="18" customHeight="1" x14ac:dyDescent="0.15">
      <c r="B31" s="42"/>
      <c r="C31" s="43"/>
      <c r="D31" s="44"/>
      <c r="E31" s="45"/>
      <c r="F31" s="45"/>
      <c r="H31" s="46"/>
    </row>
    <row r="32" spans="1:10" ht="18" customHeight="1" x14ac:dyDescent="0.15">
      <c r="A32" s="47" t="s">
        <v>48</v>
      </c>
      <c r="B32" s="90" t="s">
        <v>15</v>
      </c>
      <c r="C32" s="89" t="s">
        <v>27</v>
      </c>
      <c r="D32" s="6"/>
      <c r="E32" s="6"/>
      <c r="F32" s="6"/>
      <c r="G32" s="6"/>
      <c r="H32" s="48"/>
      <c r="I32" s="6"/>
    </row>
    <row r="33" spans="1:9" ht="18" customHeight="1" x14ac:dyDescent="0.15">
      <c r="A33" s="6" t="s">
        <v>49</v>
      </c>
      <c r="B33" s="111">
        <f>'Wohnphase 1'!B33</f>
        <v>630000</v>
      </c>
      <c r="C33" s="50"/>
      <c r="D33" s="48" t="s">
        <v>50</v>
      </c>
      <c r="E33" s="6"/>
      <c r="F33" s="48"/>
      <c r="G33" s="6"/>
      <c r="H33" s="48"/>
      <c r="I33" s="6"/>
    </row>
    <row r="34" spans="1:9" ht="18" customHeight="1" thickBot="1" x14ac:dyDescent="0.2">
      <c r="A34" s="6" t="s">
        <v>51</v>
      </c>
      <c r="B34" s="112">
        <f>'Wohnphase 1'!B34</f>
        <v>61000</v>
      </c>
      <c r="C34" s="51">
        <f>D34+F34+H34</f>
        <v>5.5000000000000007E-2</v>
      </c>
      <c r="D34" s="52">
        <f>D21</f>
        <v>3.5000000000000003E-2</v>
      </c>
      <c r="E34" s="6" t="s">
        <v>52</v>
      </c>
      <c r="F34" s="53">
        <v>0.02</v>
      </c>
      <c r="G34" s="6" t="s">
        <v>32</v>
      </c>
      <c r="H34" s="53">
        <v>0</v>
      </c>
      <c r="I34" s="6" t="s">
        <v>33</v>
      </c>
    </row>
    <row r="35" spans="1:9" ht="18" hidden="1" customHeight="1" x14ac:dyDescent="0.15">
      <c r="A35" s="6"/>
      <c r="B35" s="113">
        <f>'Wohnphase 1'!B35</f>
        <v>0</v>
      </c>
      <c r="C35" s="50"/>
      <c r="D35" s="48"/>
      <c r="E35" s="6"/>
      <c r="F35" s="48"/>
      <c r="G35" s="6"/>
      <c r="H35" s="48"/>
      <c r="I35" s="6"/>
    </row>
    <row r="36" spans="1:9" ht="18" customHeight="1" x14ac:dyDescent="0.15">
      <c r="A36" s="6" t="s">
        <v>53</v>
      </c>
      <c r="B36" s="113">
        <f>'Wohnphase 1'!B36</f>
        <v>850000</v>
      </c>
      <c r="C36" s="54"/>
      <c r="D36" s="6" t="s">
        <v>54</v>
      </c>
      <c r="E36" s="6"/>
      <c r="F36" s="6"/>
      <c r="G36" s="6"/>
      <c r="H36" s="6"/>
      <c r="I36" s="6"/>
    </row>
    <row r="37" spans="1:9" ht="18" customHeight="1" x14ac:dyDescent="0.15">
      <c r="A37" s="6" t="s">
        <v>55</v>
      </c>
      <c r="B37" s="113">
        <f>'Wohnphase 1'!B37</f>
        <v>55000</v>
      </c>
      <c r="C37" s="50"/>
      <c r="D37" s="6"/>
      <c r="E37" s="6"/>
      <c r="F37" s="6"/>
      <c r="G37" s="6"/>
      <c r="H37" s="6"/>
      <c r="I37" s="6"/>
    </row>
    <row r="38" spans="1:9" ht="18" customHeight="1" x14ac:dyDescent="0.15">
      <c r="A38" s="6" t="s">
        <v>57</v>
      </c>
      <c r="B38" s="114">
        <f>'Wohnphase 1'!B38</f>
        <v>4000</v>
      </c>
      <c r="C38" s="55"/>
      <c r="D38" s="6" t="s">
        <v>103</v>
      </c>
      <c r="E38" s="6"/>
      <c r="F38" s="6"/>
      <c r="G38" s="6"/>
      <c r="H38" s="6"/>
      <c r="I38" s="6"/>
    </row>
    <row r="39" spans="1:9" ht="18" customHeight="1" thickBot="1" x14ac:dyDescent="0.2">
      <c r="A39" s="56" t="s">
        <v>59</v>
      </c>
      <c r="B39" s="115">
        <f>'Wohnphase 1'!B39</f>
        <v>1600000</v>
      </c>
      <c r="C39" s="6"/>
      <c r="D39" s="6"/>
      <c r="E39" s="6"/>
      <c r="F39" s="6"/>
      <c r="G39" s="6"/>
      <c r="H39" s="6"/>
      <c r="I39" s="6"/>
    </row>
    <row r="40" spans="1:9" ht="18" customHeight="1" thickBot="1" x14ac:dyDescent="0.2">
      <c r="A40" s="15"/>
      <c r="B40" s="57"/>
    </row>
    <row r="41" spans="1:9" ht="18" customHeight="1" thickBot="1" x14ac:dyDescent="0.2">
      <c r="A41" s="28" t="str">
        <f>'Wohnphase 1'!A41</f>
        <v>Finanzierung Stiftung trias</v>
      </c>
      <c r="B41" s="147" t="str">
        <f>'Wohnphase 1'!B41</f>
        <v>€</v>
      </c>
      <c r="C41" s="148" t="str">
        <f>'Wohnphase 1'!C41</f>
        <v>Kommentar</v>
      </c>
    </row>
    <row r="42" spans="1:9" ht="18" customHeight="1" x14ac:dyDescent="0.15">
      <c r="A42" s="58" t="str">
        <f>'Wohnphase 1'!A42</f>
        <v>Zustiftung seitens Projekt</v>
      </c>
      <c r="B42" s="103">
        <f>'Wohnphase 1'!B42</f>
        <v>260000</v>
      </c>
      <c r="C42" s="168">
        <f>B42/B45</f>
        <v>0.32911392405063289</v>
      </c>
    </row>
    <row r="43" spans="1:9" ht="18" customHeight="1" x14ac:dyDescent="0.15">
      <c r="A43" s="58" t="str">
        <f>'Wohnphase 1'!A43</f>
        <v>Sondervermögen f. München + Umg.</v>
      </c>
      <c r="B43" s="103">
        <f>'Wohnphase 1'!B43</f>
        <v>0</v>
      </c>
      <c r="C43" s="168">
        <f>B43/B45</f>
        <v>0</v>
      </c>
    </row>
    <row r="44" spans="1:9" ht="18" customHeight="1" thickBot="1" x14ac:dyDescent="0.2">
      <c r="A44" s="119" t="str">
        <f>'Wohnphase 1'!A44</f>
        <v>sonstige Mittel der Stiftung + Partner</v>
      </c>
      <c r="B44" s="164">
        <f>'Wohnphase 1'!B44</f>
        <v>530000</v>
      </c>
    </row>
    <row r="45" spans="1:9" ht="18" customHeight="1" thickBot="1" x14ac:dyDescent="0.2">
      <c r="A45" s="28" t="str">
        <f>'Wohnphase 1'!A45</f>
        <v>Summe</v>
      </c>
      <c r="B45" s="165">
        <f>'Wohnphase 1'!B45</f>
        <v>790000</v>
      </c>
    </row>
    <row r="46" spans="1:9" s="41" customFormat="1" ht="18" customHeight="1" thickBot="1" x14ac:dyDescent="0.2">
      <c r="B46" s="42"/>
      <c r="C46" s="4"/>
      <c r="D46" s="4"/>
      <c r="E46" s="4"/>
      <c r="F46" s="4"/>
      <c r="G46" s="4"/>
    </row>
    <row r="47" spans="1:9" ht="18" customHeight="1" thickBot="1" x14ac:dyDescent="0.2">
      <c r="A47" s="47" t="s">
        <v>66</v>
      </c>
      <c r="B47" s="178"/>
      <c r="C47" s="170" t="s">
        <v>61</v>
      </c>
      <c r="D47" s="78" t="s">
        <v>67</v>
      </c>
      <c r="E47" s="79" t="s">
        <v>68</v>
      </c>
      <c r="F47" s="79" t="s">
        <v>69</v>
      </c>
      <c r="G47" s="80" t="s">
        <v>70</v>
      </c>
      <c r="H47" s="181"/>
      <c r="I47" s="180" t="str">
        <f>'Wohnphase 1'!$I$47</f>
        <v>Saldo nach dieser Phase</v>
      </c>
    </row>
    <row r="48" spans="1:9" ht="18" customHeight="1" x14ac:dyDescent="0.15">
      <c r="A48" s="60" t="s">
        <v>72</v>
      </c>
      <c r="B48" s="109">
        <f>Bezug!B48</f>
        <v>1000000</v>
      </c>
      <c r="C48" s="172">
        <f>Bezug!C48</f>
        <v>0.625</v>
      </c>
      <c r="D48" s="191">
        <f>B48/B10</f>
        <v>3125</v>
      </c>
      <c r="E48" s="183"/>
      <c r="F48" s="83"/>
      <c r="G48" s="84"/>
      <c r="H48" s="83"/>
      <c r="I48" s="83"/>
    </row>
    <row r="49" spans="1:256" ht="18" hidden="1" customHeight="1" x14ac:dyDescent="0.15">
      <c r="A49" s="6" t="s">
        <v>73</v>
      </c>
      <c r="B49" s="169">
        <f>Bezug!B49</f>
        <v>0</v>
      </c>
      <c r="C49" s="49">
        <f>Bezug!C49</f>
        <v>0</v>
      </c>
      <c r="D49" s="184">
        <f>Bezug!D49</f>
        <v>0</v>
      </c>
      <c r="E49" s="184">
        <f>Bezug!E49</f>
        <v>0</v>
      </c>
      <c r="F49" s="171">
        <f>Bezug!F49</f>
        <v>0</v>
      </c>
      <c r="G49" s="162">
        <f>Bezug!G49</f>
        <v>0</v>
      </c>
      <c r="H49" s="49"/>
      <c r="I49" s="49"/>
      <c r="J49" s="4" t="s">
        <v>74</v>
      </c>
    </row>
    <row r="50" spans="1:256" ht="18" hidden="1" customHeight="1" x14ac:dyDescent="0.15">
      <c r="A50" s="6" t="s">
        <v>75</v>
      </c>
      <c r="B50" s="169">
        <f>Bezug!B50</f>
        <v>0</v>
      </c>
      <c r="C50" s="49">
        <f>Bezug!C50</f>
        <v>0</v>
      </c>
      <c r="D50" s="184">
        <f>Bezug!D50</f>
        <v>0</v>
      </c>
      <c r="E50" s="184">
        <f>Bezug!E50</f>
        <v>0</v>
      </c>
      <c r="F50" s="171">
        <f>Bezug!F50</f>
        <v>0</v>
      </c>
      <c r="G50" s="162">
        <f>Bezug!G50</f>
        <v>0</v>
      </c>
      <c r="H50" s="49"/>
      <c r="I50" s="49"/>
    </row>
    <row r="51" spans="1:256" ht="18" hidden="1" customHeight="1" x14ac:dyDescent="0.15">
      <c r="A51" s="6" t="s">
        <v>76</v>
      </c>
      <c r="B51" s="169">
        <f>Bezug!B51</f>
        <v>0</v>
      </c>
      <c r="C51" s="49">
        <f>Bezug!C51</f>
        <v>0</v>
      </c>
      <c r="D51" s="184">
        <f>Bezug!D51</f>
        <v>0</v>
      </c>
      <c r="E51" s="184">
        <f>Bezug!E51</f>
        <v>0</v>
      </c>
      <c r="F51" s="171">
        <f>Bezug!F51</f>
        <v>0</v>
      </c>
      <c r="G51" s="162">
        <f>Bezug!G51</f>
        <v>0</v>
      </c>
      <c r="H51" s="49"/>
      <c r="I51" s="49"/>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row>
    <row r="52" spans="1:256" ht="18" customHeight="1" x14ac:dyDescent="0.15">
      <c r="A52" s="6" t="s">
        <v>77</v>
      </c>
      <c r="B52" s="169">
        <f>Bezug!B52</f>
        <v>600000</v>
      </c>
      <c r="C52" s="49"/>
      <c r="D52" s="184">
        <f>Bezug!D52</f>
        <v>3.5000000000000003E-2</v>
      </c>
      <c r="E52" s="184">
        <f>Bezug!E52</f>
        <v>1.4998347315924903E-2</v>
      </c>
      <c r="F52" s="171" t="str">
        <f>Bezug!F52</f>
        <v>2500,00 €/m²</v>
      </c>
      <c r="G52" s="162">
        <f>Bezug!G52</f>
        <v>-29999.008389554947</v>
      </c>
      <c r="H52" s="49" t="str">
        <f>'Wohnphase 1'!$H$52</f>
        <v>37 J.</v>
      </c>
      <c r="I52" s="113">
        <f>B52+CUMPRINC(D52,34,B52,1,27,0)</f>
        <v>186223.29786793212</v>
      </c>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row>
    <row r="53" spans="1:256" ht="18" hidden="1" customHeight="1" x14ac:dyDescent="0.15">
      <c r="A53" s="6" t="s">
        <v>79</v>
      </c>
      <c r="B53" s="110">
        <f>Bezug!B53</f>
        <v>0</v>
      </c>
      <c r="C53" s="61">
        <f>Bezug!C53</f>
        <v>0</v>
      </c>
      <c r="D53" s="185">
        <f>Bezug!D53</f>
        <v>0</v>
      </c>
      <c r="E53" s="185">
        <f>Bezug!E53</f>
        <v>0</v>
      </c>
      <c r="F53" s="81">
        <f>Bezug!F53</f>
        <v>0</v>
      </c>
      <c r="G53" s="82">
        <f>Bezug!G53</f>
        <v>0</v>
      </c>
      <c r="H53" s="77"/>
      <c r="I53" s="61"/>
      <c r="J53" s="4" t="s">
        <v>80</v>
      </c>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row>
    <row r="54" spans="1:256" ht="18" customHeight="1" thickBot="1" x14ac:dyDescent="0.2">
      <c r="A54" s="6" t="s">
        <v>81</v>
      </c>
      <c r="B54" s="110">
        <f>Bezug!B54</f>
        <v>0</v>
      </c>
      <c r="C54" s="64"/>
      <c r="D54" s="186">
        <f>Bezug!D54</f>
        <v>0</v>
      </c>
      <c r="E54" s="187">
        <f>Bezug!E54</f>
        <v>0</v>
      </c>
      <c r="F54" s="63"/>
      <c r="G54" s="72">
        <f>Bezug!G54</f>
        <v>0</v>
      </c>
      <c r="H54" s="65"/>
      <c r="I54" s="64"/>
    </row>
    <row r="55" spans="1:256" ht="18" customHeight="1" thickBot="1" x14ac:dyDescent="0.2">
      <c r="A55" s="47" t="s">
        <v>82</v>
      </c>
      <c r="B55" s="166">
        <f>Bezug!B55</f>
        <v>1600000</v>
      </c>
      <c r="E55" s="7"/>
      <c r="F55" s="7"/>
      <c r="G55" s="72">
        <f>Bezug!G55</f>
        <v>-29999.008389554947</v>
      </c>
      <c r="H55" s="11"/>
    </row>
    <row r="56" spans="1:256" ht="18" customHeight="1" thickBot="1" x14ac:dyDescent="0.2">
      <c r="A56" s="15"/>
      <c r="G56" s="15"/>
      <c r="I56" s="157"/>
    </row>
    <row r="57" spans="1:256" ht="18" customHeight="1" thickBot="1" x14ac:dyDescent="0.2">
      <c r="A57" s="47" t="s">
        <v>84</v>
      </c>
      <c r="B57" s="66" t="s">
        <v>15</v>
      </c>
      <c r="C57" s="73"/>
      <c r="D57" s="182" t="str">
        <f>Bezug!D57</f>
        <v>Konkret angesetzt</v>
      </c>
    </row>
    <row r="58" spans="1:256" ht="18" customHeight="1" x14ac:dyDescent="0.15">
      <c r="A58" s="6" t="s">
        <v>85</v>
      </c>
      <c r="B58" s="110">
        <f>F17</f>
        <v>84480</v>
      </c>
      <c r="C58" s="73"/>
      <c r="D58" s="67"/>
    </row>
    <row r="59" spans="1:256" ht="18" customHeight="1" x14ac:dyDescent="0.15">
      <c r="A59" s="6" t="s">
        <v>86</v>
      </c>
      <c r="B59" s="110"/>
      <c r="C59" s="73"/>
      <c r="D59" s="68"/>
    </row>
    <row r="60" spans="1:256" ht="18" customHeight="1" x14ac:dyDescent="0.15">
      <c r="A60" s="6" t="s">
        <v>87</v>
      </c>
      <c r="B60" s="110">
        <f>-D29</f>
        <v>-38710</v>
      </c>
      <c r="C60" s="73"/>
      <c r="D60" s="69"/>
    </row>
    <row r="61" spans="1:256" ht="18" customHeight="1" x14ac:dyDescent="0.15">
      <c r="A61" s="6" t="s">
        <v>88</v>
      </c>
      <c r="B61" s="110">
        <f>-D61*B17*12</f>
        <v>-3840</v>
      </c>
      <c r="C61" s="73"/>
      <c r="D61" s="68">
        <v>1</v>
      </c>
      <c r="E61" s="4" t="s">
        <v>106</v>
      </c>
    </row>
    <row r="62" spans="1:256" ht="18" customHeight="1" x14ac:dyDescent="0.15">
      <c r="A62" s="6" t="s">
        <v>107</v>
      </c>
      <c r="B62" s="110">
        <f>-D62</f>
        <v>-9807.2528134571367</v>
      </c>
      <c r="C62" s="59"/>
      <c r="D62" s="154">
        <f>Bezug!D62*POWER(1.02,13)</f>
        <v>9807.2528134571367</v>
      </c>
      <c r="E62" s="154"/>
      <c r="F62" s="175"/>
      <c r="G62" s="176"/>
      <c r="H62" s="176"/>
      <c r="I62" s="177"/>
    </row>
    <row r="63" spans="1:256" ht="18" customHeight="1" x14ac:dyDescent="0.15">
      <c r="A63" s="6" t="s">
        <v>93</v>
      </c>
      <c r="B63" s="110">
        <f>B58*(-D63)</f>
        <v>-1267.2</v>
      </c>
      <c r="C63" s="73"/>
      <c r="D63" s="107">
        <v>1.4999999999999999E-2</v>
      </c>
      <c r="E63" s="174"/>
    </row>
    <row r="64" spans="1:256" ht="18" customHeight="1" x14ac:dyDescent="0.15">
      <c r="A64" s="6" t="s">
        <v>94</v>
      </c>
      <c r="B64" s="110">
        <f>G55</f>
        <v>-29999.008389554947</v>
      </c>
      <c r="C64" s="73"/>
      <c r="D64" s="153">
        <f>-(B61+B62+B63)/B58</f>
        <v>0.17654418576535438</v>
      </c>
      <c r="E64" s="76" t="s">
        <v>109</v>
      </c>
      <c r="F64" s="5" t="s">
        <v>96</v>
      </c>
    </row>
    <row r="65" spans="1:4" ht="18" customHeight="1" thickBot="1" x14ac:dyDescent="0.2">
      <c r="A65" s="6" t="s">
        <v>110</v>
      </c>
      <c r="B65" s="110"/>
      <c r="C65" s="74"/>
      <c r="D65" s="70"/>
    </row>
    <row r="66" spans="1:4" ht="18" customHeight="1" thickBot="1" x14ac:dyDescent="0.2">
      <c r="A66" s="47" t="str">
        <f>IF(B66&lt;0,"Unterdeckung","Überschuss")</f>
        <v>Überschuss</v>
      </c>
      <c r="B66" s="167">
        <f>SUM(B58:B65)</f>
        <v>856.5387969879157</v>
      </c>
    </row>
    <row r="67" spans="1:4" ht="18" customHeight="1" thickBot="1" x14ac:dyDescent="0.2">
      <c r="B67" s="71">
        <f>(B66/B10/12)</f>
        <v>0.2230569783822697</v>
      </c>
    </row>
    <row r="68" spans="1:4" ht="18" customHeight="1" thickBot="1" x14ac:dyDescent="0.2">
      <c r="A68" s="47" t="s">
        <v>111</v>
      </c>
      <c r="B68" s="108">
        <f>C10-B67</f>
        <v>21.776943021617729</v>
      </c>
      <c r="C68" s="21"/>
      <c r="D68" s="92"/>
    </row>
    <row r="69" spans="1:4" ht="18" customHeight="1" x14ac:dyDescent="0.15"/>
    <row r="70" spans="1:4" ht="18" customHeight="1" x14ac:dyDescent="0.15"/>
    <row r="71" spans="1:4" ht="18" customHeight="1" x14ac:dyDescent="0.15"/>
    <row r="72" spans="1:4" ht="18" customHeight="1" x14ac:dyDescent="0.2">
      <c r="B72" s="156">
        <v>207887.73</v>
      </c>
    </row>
    <row r="73" spans="1:4" ht="18" customHeight="1" x14ac:dyDescent="0.2">
      <c r="B73" s="156">
        <v>270836.43</v>
      </c>
    </row>
    <row r="74" spans="1:4" ht="18" customHeight="1" x14ac:dyDescent="0.2">
      <c r="B74" s="156">
        <v>30422</v>
      </c>
    </row>
    <row r="75" spans="1:4" ht="18" customHeight="1" x14ac:dyDescent="0.15"/>
    <row r="76" spans="1:4" ht="18" customHeight="1" x14ac:dyDescent="0.15"/>
    <row r="77" spans="1:4" ht="18" customHeight="1" x14ac:dyDescent="0.15"/>
    <row r="78" spans="1:4" ht="18" customHeight="1" x14ac:dyDescent="0.15"/>
    <row r="79" spans="1:4" ht="18" customHeight="1" x14ac:dyDescent="0.15"/>
    <row r="80" spans="1:4"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sheetData>
  <mergeCells count="1">
    <mergeCell ref="I16:J17"/>
  </mergeCells>
  <pageMargins left="0.5" right="0.5" top="0.5" bottom="0.5" header="0" footer="0"/>
  <pageSetup paperSize="9" scale="60" orientation="landscape" horizontalDpi="360" verticalDpi="360"/>
  <headerFooter alignWithMargins="0">
    <oddFooter xml:space="preserve">&amp;L
&amp;C Stiftung trias </oddFooter>
  </headerFooter>
  <rowBreaks count="1" manualBreakCount="1">
    <brk id="66" max="9" man="1"/>
  </rowBreaks>
  <colBreaks count="1" manualBreakCount="1">
    <brk id="11" max="1048575" man="1"/>
  </colBreaks>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5BD8F-9E63-4E37-AB76-09DD7585B287}">
  <dimension ref="A1:IV119"/>
  <sheetViews>
    <sheetView showOutlineSymbols="0" topLeftCell="A37" zoomScaleNormal="100" zoomScalePageLayoutView="80" workbookViewId="0">
      <selection activeCell="B3" sqref="B3"/>
    </sheetView>
  </sheetViews>
  <sheetFormatPr baseColWidth="10" defaultColWidth="9.5703125" defaultRowHeight="14" x14ac:dyDescent="0.15"/>
  <cols>
    <col min="1" max="1" width="31.5703125" style="4" customWidth="1"/>
    <col min="2" max="2" width="17.140625" style="4" customWidth="1"/>
    <col min="3" max="3" width="14.42578125" style="4" customWidth="1"/>
    <col min="4" max="4" width="16.5703125" style="4" customWidth="1"/>
    <col min="5" max="5" width="18.42578125" style="4" customWidth="1"/>
    <col min="6" max="6" width="12.5703125" style="4" customWidth="1"/>
    <col min="7" max="7" width="14.5703125" style="4" customWidth="1"/>
    <col min="8" max="8" width="10.5703125" style="4" customWidth="1"/>
    <col min="9" max="9" width="26.5703125" style="4" customWidth="1"/>
    <col min="10" max="10" width="13.5703125" style="4" customWidth="1"/>
    <col min="11" max="16384" width="9.5703125" style="4"/>
  </cols>
  <sheetData>
    <row r="1" spans="1:256" ht="18" customHeight="1" x14ac:dyDescent="0.15">
      <c r="A1" s="1" t="s">
        <v>0</v>
      </c>
      <c r="B1" s="2"/>
      <c r="C1" s="2"/>
      <c r="D1" s="2"/>
      <c r="E1" s="2"/>
      <c r="F1" s="2"/>
      <c r="G1" s="2"/>
      <c r="H1" s="2"/>
      <c r="I1" s="2"/>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18" customHeight="1" x14ac:dyDescent="0.15">
      <c r="E2" s="5"/>
    </row>
    <row r="3" spans="1:256" ht="18" customHeight="1" x14ac:dyDescent="0.15">
      <c r="A3" s="5" t="s">
        <v>1</v>
      </c>
      <c r="B3" s="4" t="s">
        <v>117</v>
      </c>
      <c r="E3" s="5" t="s">
        <v>112</v>
      </c>
      <c r="G3" s="6" t="str">
        <f>'Wohnphase 2'!$G$3</f>
        <v>Wohnraumschiff (convex us eG)</v>
      </c>
      <c r="H3" s="6"/>
      <c r="I3" s="6"/>
    </row>
    <row r="4" spans="1:256" ht="18" customHeight="1" x14ac:dyDescent="0.15">
      <c r="B4" s="7"/>
      <c r="C4" s="7"/>
      <c r="D4" s="7"/>
      <c r="G4" s="7"/>
      <c r="H4" s="7"/>
      <c r="I4" s="7"/>
    </row>
    <row r="5" spans="1:256" ht="18" customHeight="1" x14ac:dyDescent="0.15"/>
    <row r="6" spans="1:256" ht="18" customHeight="1" x14ac:dyDescent="0.15">
      <c r="A6" s="8" t="s">
        <v>7</v>
      </c>
      <c r="B6" s="9" t="s">
        <v>8</v>
      </c>
      <c r="C6" s="10" t="s">
        <v>9</v>
      </c>
      <c r="D6" s="11"/>
      <c r="E6" s="12" t="s">
        <v>10</v>
      </c>
      <c r="G6" s="13" t="s">
        <v>11</v>
      </c>
      <c r="H6" s="14"/>
    </row>
    <row r="7" spans="1:256" ht="18" customHeight="1" x14ac:dyDescent="0.15">
      <c r="A7" s="15" t="s">
        <v>12</v>
      </c>
      <c r="B7" s="104">
        <f>Umbauphase!B7</f>
        <v>200</v>
      </c>
      <c r="C7" s="97">
        <f>Umbauphase!C7</f>
        <v>6500</v>
      </c>
      <c r="D7" s="16" t="s">
        <v>13</v>
      </c>
      <c r="E7" s="103">
        <f>ROUNDUP(B7*C7,-4)</f>
        <v>1300000</v>
      </c>
    </row>
    <row r="8" spans="1:256" ht="18" customHeight="1" x14ac:dyDescent="0.15">
      <c r="A8" s="4" t="s">
        <v>14</v>
      </c>
      <c r="B8" s="18">
        <v>3</v>
      </c>
      <c r="C8" s="19"/>
      <c r="D8" s="23"/>
      <c r="F8" s="21" t="s">
        <v>15</v>
      </c>
    </row>
    <row r="9" spans="1:256" ht="18" customHeight="1" x14ac:dyDescent="0.15">
      <c r="A9" s="4" t="s">
        <v>16</v>
      </c>
      <c r="B9" s="18"/>
      <c r="C9" s="22"/>
      <c r="D9" s="91"/>
      <c r="F9" s="24" t="s">
        <v>17</v>
      </c>
      <c r="G9" s="11"/>
    </row>
    <row r="10" spans="1:256" ht="18" customHeight="1" x14ac:dyDescent="0.15">
      <c r="A10" s="25" t="s">
        <v>18</v>
      </c>
      <c r="B10" s="95">
        <f>'Wohnphase 2'!$B$10</f>
        <v>320</v>
      </c>
      <c r="C10" s="102">
        <v>15</v>
      </c>
      <c r="D10" s="100">
        <f>B10*C10</f>
        <v>4800</v>
      </c>
      <c r="E10" s="23" t="s">
        <v>19</v>
      </c>
      <c r="F10" s="98">
        <f>D10*12</f>
        <v>57600</v>
      </c>
      <c r="G10" s="20"/>
    </row>
    <row r="11" spans="1:256" ht="18" hidden="1" customHeight="1" x14ac:dyDescent="0.15">
      <c r="A11" s="25" t="s">
        <v>20</v>
      </c>
      <c r="B11" s="95"/>
      <c r="C11" s="102">
        <v>12</v>
      </c>
      <c r="D11" s="100">
        <f>B11*C11</f>
        <v>0</v>
      </c>
      <c r="E11" s="23" t="s">
        <v>19</v>
      </c>
      <c r="F11" s="98">
        <f>D11*12</f>
        <v>0</v>
      </c>
      <c r="G11" s="20"/>
    </row>
    <row r="12" spans="1:256" ht="18" hidden="1" customHeight="1" x14ac:dyDescent="0.15">
      <c r="A12" s="25" t="s">
        <v>21</v>
      </c>
      <c r="B12" s="95"/>
      <c r="C12" s="102">
        <v>6</v>
      </c>
      <c r="D12" s="100">
        <f t="shared" ref="D12:D14" si="0">B12*C12</f>
        <v>0</v>
      </c>
      <c r="E12" s="23" t="s">
        <v>19</v>
      </c>
      <c r="F12" s="98">
        <f t="shared" ref="F12:F14" si="1">D12*12</f>
        <v>0</v>
      </c>
      <c r="G12" s="20"/>
    </row>
    <row r="13" spans="1:256" ht="18" hidden="1" customHeight="1" x14ac:dyDescent="0.15">
      <c r="A13" s="25" t="s">
        <v>22</v>
      </c>
      <c r="B13" s="95"/>
      <c r="C13" s="102">
        <v>3.5</v>
      </c>
      <c r="D13" s="100">
        <f t="shared" si="0"/>
        <v>0</v>
      </c>
      <c r="E13" s="23" t="s">
        <v>19</v>
      </c>
      <c r="F13" s="98">
        <f t="shared" si="1"/>
        <v>0</v>
      </c>
      <c r="G13" s="20"/>
    </row>
    <row r="14" spans="1:256" ht="18" hidden="1" customHeight="1" x14ac:dyDescent="0.15">
      <c r="A14" s="25" t="s">
        <v>23</v>
      </c>
      <c r="B14" s="95"/>
      <c r="C14" s="102">
        <v>3.5</v>
      </c>
      <c r="D14" s="100">
        <f t="shared" si="0"/>
        <v>0</v>
      </c>
      <c r="E14" s="23" t="s">
        <v>19</v>
      </c>
      <c r="F14" s="98">
        <f t="shared" si="1"/>
        <v>0</v>
      </c>
      <c r="G14" s="20"/>
    </row>
    <row r="15" spans="1:256" ht="18" customHeight="1" x14ac:dyDescent="0.15">
      <c r="A15" s="25"/>
      <c r="B15" s="95"/>
      <c r="C15" s="102"/>
      <c r="D15" s="100">
        <f>B15*C15</f>
        <v>0</v>
      </c>
      <c r="E15" s="23" t="s">
        <v>19</v>
      </c>
      <c r="F15" s="98">
        <f>D15*12</f>
        <v>0</v>
      </c>
      <c r="G15" s="20"/>
    </row>
    <row r="16" spans="1:256" ht="18" customHeight="1" thickBot="1" x14ac:dyDescent="0.2">
      <c r="A16" s="25" t="s">
        <v>24</v>
      </c>
      <c r="B16" s="95"/>
      <c r="C16" s="102"/>
      <c r="D16" s="100">
        <f>B16*C16</f>
        <v>0</v>
      </c>
      <c r="E16" s="23" t="s">
        <v>19</v>
      </c>
      <c r="F16" s="98">
        <f>D16*12</f>
        <v>0</v>
      </c>
      <c r="G16" s="20"/>
    </row>
    <row r="17" spans="1:9" ht="18" customHeight="1" x14ac:dyDescent="0.15">
      <c r="A17" s="26" t="s">
        <v>25</v>
      </c>
      <c r="B17" s="96">
        <f>SUM(B10:B16)</f>
        <v>320</v>
      </c>
      <c r="C17" s="97"/>
      <c r="D17" s="101">
        <f>SUM(D10:D16)</f>
        <v>4800</v>
      </c>
      <c r="E17" s="27" t="s">
        <v>19</v>
      </c>
      <c r="F17" s="99">
        <f>SUM(F10:F16)</f>
        <v>57600</v>
      </c>
      <c r="G17" s="11"/>
    </row>
    <row r="18" spans="1:9" ht="18" customHeight="1" x14ac:dyDescent="0.15"/>
    <row r="19" spans="1:9" ht="18" customHeight="1" x14ac:dyDescent="0.15">
      <c r="A19" s="28" t="s">
        <v>26</v>
      </c>
      <c r="B19" s="29" t="s">
        <v>15</v>
      </c>
      <c r="C19" s="87" t="s">
        <v>27</v>
      </c>
      <c r="D19" s="30"/>
      <c r="E19" s="30"/>
      <c r="F19" s="30"/>
      <c r="G19" s="30"/>
      <c r="H19" s="30"/>
      <c r="I19" s="30"/>
    </row>
    <row r="20" spans="1:9" ht="18" customHeight="1" x14ac:dyDescent="0.15">
      <c r="A20" s="30" t="s">
        <v>28</v>
      </c>
      <c r="B20" s="31">
        <f>'Wohnphase 2'!B20</f>
        <v>1300000</v>
      </c>
      <c r="C20" s="88"/>
      <c r="D20" s="33" t="s">
        <v>29</v>
      </c>
      <c r="E20" s="33"/>
      <c r="F20" s="33"/>
      <c r="G20" s="33"/>
      <c r="H20" s="33"/>
      <c r="I20" s="30"/>
    </row>
    <row r="21" spans="1:9" ht="18" customHeight="1" x14ac:dyDescent="0.15">
      <c r="A21" s="30" t="s">
        <v>30</v>
      </c>
      <c r="B21" s="17">
        <f>ROUNDUP(B20*(D21+F21+H21),-4)</f>
        <v>120000</v>
      </c>
      <c r="C21" s="86">
        <f>D21+F21+H21</f>
        <v>9.0700000000000003E-2</v>
      </c>
      <c r="D21" s="35">
        <v>3.5000000000000003E-2</v>
      </c>
      <c r="E21" s="33" t="s">
        <v>31</v>
      </c>
      <c r="F21" s="36">
        <v>0.02</v>
      </c>
      <c r="G21" s="33" t="s">
        <v>32</v>
      </c>
      <c r="H21" s="36">
        <v>3.5700000000000003E-2</v>
      </c>
      <c r="I21" s="33" t="s">
        <v>33</v>
      </c>
    </row>
    <row r="22" spans="1:9" ht="18" customHeight="1" x14ac:dyDescent="0.15">
      <c r="A22" s="30" t="s">
        <v>34</v>
      </c>
      <c r="B22" s="17">
        <f>SUM(B20:B21)</f>
        <v>1420000</v>
      </c>
      <c r="C22" s="34"/>
      <c r="D22" s="37"/>
      <c r="E22" s="30"/>
      <c r="F22" s="37"/>
      <c r="G22" s="30"/>
      <c r="H22" s="37"/>
      <c r="I22" s="30"/>
    </row>
    <row r="23" spans="1:9" ht="18" customHeight="1" x14ac:dyDescent="0.15">
      <c r="A23" s="30" t="s">
        <v>102</v>
      </c>
      <c r="B23" s="38">
        <f>B22-B33</f>
        <v>790000</v>
      </c>
      <c r="C23" s="39"/>
      <c r="D23" s="30"/>
      <c r="E23" s="37"/>
      <c r="F23" s="30"/>
      <c r="G23" s="30"/>
      <c r="H23" s="30"/>
      <c r="I23" s="30"/>
    </row>
    <row r="24" spans="1:9" s="41" customFormat="1" ht="18" customHeight="1" x14ac:dyDescent="0.15">
      <c r="B24" s="42"/>
      <c r="C24" s="43"/>
      <c r="D24" s="44"/>
      <c r="E24" s="45"/>
      <c r="F24" s="45"/>
      <c r="H24" s="46"/>
    </row>
    <row r="25" spans="1:9" s="41" customFormat="1" ht="18" customHeight="1" x14ac:dyDescent="0.25">
      <c r="A25" s="145" t="s">
        <v>36</v>
      </c>
      <c r="B25" s="146" t="s">
        <v>37</v>
      </c>
      <c r="C25" s="144" t="s">
        <v>27</v>
      </c>
      <c r="D25" s="143" t="s">
        <v>38</v>
      </c>
      <c r="E25" s="128" t="s">
        <v>39</v>
      </c>
      <c r="F25" s="120" t="s">
        <v>40</v>
      </c>
      <c r="G25" s="121"/>
      <c r="H25" s="122"/>
      <c r="I25" s="121"/>
    </row>
    <row r="26" spans="1:9" s="41" customFormat="1" ht="18" customHeight="1" x14ac:dyDescent="0.15">
      <c r="A26" s="139" t="s">
        <v>41</v>
      </c>
      <c r="B26" s="140">
        <v>3</v>
      </c>
      <c r="C26" s="141">
        <f>'Wohnphase 2'!C26</f>
        <v>2.9000000000000001E-2</v>
      </c>
      <c r="D26" s="142">
        <f>MAX(1000,C26*$B$23)</f>
        <v>22910</v>
      </c>
      <c r="E26" s="127">
        <f>(((1*(((1+0.045)^B26-1)/(0.045)))/(1+0.045)^B26)-((1*(((1+0.045)^0-1)/(0.045)))/(1+0.045)^0))*D26</f>
        <v>62978.773357822836</v>
      </c>
      <c r="F26" s="130" t="s">
        <v>25</v>
      </c>
      <c r="G26" s="121"/>
      <c r="H26" s="122"/>
      <c r="I26" s="121"/>
    </row>
    <row r="27" spans="1:9" s="41" customFormat="1" ht="18" customHeight="1" x14ac:dyDescent="0.15">
      <c r="A27" s="123" t="s">
        <v>42</v>
      </c>
      <c r="B27" s="124">
        <v>7</v>
      </c>
      <c r="C27" s="125">
        <f>'Wohnphase 2'!C27</f>
        <v>3.9E-2</v>
      </c>
      <c r="D27" s="126">
        <f>MAX(1000,C27*$B$23)</f>
        <v>30810</v>
      </c>
      <c r="E27" s="127">
        <f>(((1*(((1+0.045)^SUM(B$26:B27)-1)/(0.045)))/(1+0.045)^SUM(B$26:B27))-((1*(((1+0.045)^B26-1)/(0.045)))/(1+0.045)^B26))*D27</f>
        <v>159095.25527969163</v>
      </c>
      <c r="F27" s="132">
        <f>SUM(E26:E30)</f>
        <v>740683.1364807263</v>
      </c>
      <c r="G27" s="121"/>
      <c r="H27" s="122"/>
      <c r="I27" s="121"/>
    </row>
    <row r="28" spans="1:9" s="41" customFormat="1" ht="18" customHeight="1" x14ac:dyDescent="0.15">
      <c r="A28" s="123" t="s">
        <v>43</v>
      </c>
      <c r="B28" s="124">
        <v>10</v>
      </c>
      <c r="C28" s="125">
        <f>'Wohnphase 2'!C28</f>
        <v>4.2000000000000003E-2</v>
      </c>
      <c r="D28" s="126">
        <f t="shared" ref="D28:D30" si="2">MAX(1000,C28*$B$23)</f>
        <v>33180</v>
      </c>
      <c r="E28" s="127">
        <f>(((1*(((1+0.045)^SUM(B$26:B28)-1)/(0.045)))/(1+0.045)^SUM(B$26:B28))-((1*(((1+0.045)^SUM(B$26:B27)-1)/(0.045)))/(1+0.045)^SUM(B$26:B27)))*D28</f>
        <v>169059.34234271824</v>
      </c>
      <c r="F28" s="131" t="s">
        <v>44</v>
      </c>
      <c r="G28" s="121"/>
      <c r="H28" s="122"/>
      <c r="I28" s="121"/>
    </row>
    <row r="29" spans="1:9" s="41" customFormat="1" ht="18" customHeight="1" x14ac:dyDescent="0.15">
      <c r="A29" s="123" t="s">
        <v>45</v>
      </c>
      <c r="B29" s="124">
        <v>13</v>
      </c>
      <c r="C29" s="125">
        <f>'Wohnphase 2'!C29</f>
        <v>4.9000000000000002E-2</v>
      </c>
      <c r="D29" s="126">
        <f t="shared" si="2"/>
        <v>38710</v>
      </c>
      <c r="E29" s="127">
        <f>(((1*(((1+0.045)^SUM(B$26:B29)-1)/(0.045)))/(1+0.045)^SUM(B$26:B29))-((1*(((1+0.045)^SUM(B$26:B28)-1)/(0.045)))/(1+0.045)^SUM(B$26:B28)))*D29</f>
        <v>155417.77067552376</v>
      </c>
      <c r="F29" s="129">
        <f>F30/B23</f>
        <v>5.0407182283974838E-2</v>
      </c>
      <c r="G29" s="121"/>
      <c r="H29" s="122"/>
      <c r="I29" s="121"/>
    </row>
    <row r="30" spans="1:9" s="41" customFormat="1" ht="18" customHeight="1" x14ac:dyDescent="0.15">
      <c r="A30" s="94" t="s">
        <v>46</v>
      </c>
      <c r="B30" s="118" t="s">
        <v>47</v>
      </c>
      <c r="C30" s="117">
        <f>'Wohnphase 2'!C30</f>
        <v>0.05</v>
      </c>
      <c r="D30" s="116">
        <f t="shared" si="2"/>
        <v>39500</v>
      </c>
      <c r="E30" s="127">
        <f>(((1*(((1+0.045)^99-1)/(0.045)))/(1+0.045)^99)-((1*(((1+0.045)^SUM(B$26:B29)-1)/(0.045)))/(1+0.045)^SUM(B$26:B29)))*D30</f>
        <v>194131.99482496973</v>
      </c>
      <c r="F30" s="133">
        <f>SUM(E26:E30)/18.6</f>
        <v>39821.674004340122</v>
      </c>
      <c r="G30" s="121"/>
      <c r="H30" s="122"/>
      <c r="I30" s="121"/>
    </row>
    <row r="31" spans="1:9" s="41" customFormat="1" ht="18" customHeight="1" x14ac:dyDescent="0.15">
      <c r="B31" s="42"/>
      <c r="C31" s="43"/>
      <c r="D31" s="44"/>
      <c r="E31" s="45"/>
      <c r="F31" s="45"/>
      <c r="H31" s="46"/>
    </row>
    <row r="32" spans="1:9" ht="18" customHeight="1" x14ac:dyDescent="0.15">
      <c r="A32" s="47" t="s">
        <v>48</v>
      </c>
      <c r="B32" s="90" t="s">
        <v>15</v>
      </c>
      <c r="C32" s="89" t="s">
        <v>27</v>
      </c>
      <c r="D32" s="6"/>
      <c r="E32" s="6"/>
      <c r="F32" s="6"/>
      <c r="G32" s="6"/>
      <c r="H32" s="48"/>
      <c r="I32" s="6"/>
    </row>
    <row r="33" spans="1:9" ht="18" customHeight="1" x14ac:dyDescent="0.15">
      <c r="A33" s="6" t="s">
        <v>49</v>
      </c>
      <c r="B33" s="111">
        <f>'Wohnphase 2'!B33</f>
        <v>630000</v>
      </c>
      <c r="C33" s="50"/>
      <c r="D33" s="48" t="s">
        <v>50</v>
      </c>
      <c r="E33" s="6"/>
      <c r="F33" s="48"/>
      <c r="G33" s="6"/>
      <c r="H33" s="48"/>
      <c r="I33" s="6"/>
    </row>
    <row r="34" spans="1:9" ht="18" customHeight="1" x14ac:dyDescent="0.15">
      <c r="A34" s="6" t="s">
        <v>51</v>
      </c>
      <c r="B34" s="112">
        <f>'Wohnphase 2'!B34</f>
        <v>61000</v>
      </c>
      <c r="C34" s="51">
        <f>D34+F34+H34</f>
        <v>5.5000000000000007E-2</v>
      </c>
      <c r="D34" s="52">
        <f>D21</f>
        <v>3.5000000000000003E-2</v>
      </c>
      <c r="E34" s="6" t="s">
        <v>52</v>
      </c>
      <c r="F34" s="53">
        <v>0.02</v>
      </c>
      <c r="G34" s="6" t="s">
        <v>32</v>
      </c>
      <c r="H34" s="53">
        <v>0</v>
      </c>
      <c r="I34" s="6" t="s">
        <v>33</v>
      </c>
    </row>
    <row r="35" spans="1:9" ht="18" customHeight="1" x14ac:dyDescent="0.15">
      <c r="A35" s="6"/>
      <c r="B35" s="113">
        <f>'Wohnphase 2'!B35</f>
        <v>0</v>
      </c>
      <c r="C35" s="50"/>
      <c r="D35" s="48"/>
      <c r="E35" s="6"/>
      <c r="F35" s="48"/>
      <c r="G35" s="6"/>
      <c r="H35" s="48"/>
      <c r="I35" s="6"/>
    </row>
    <row r="36" spans="1:9" ht="18" customHeight="1" x14ac:dyDescent="0.15">
      <c r="A36" s="6" t="s">
        <v>53</v>
      </c>
      <c r="B36" s="113">
        <f>'Wohnphase 2'!B36</f>
        <v>850000</v>
      </c>
      <c r="C36" s="54"/>
      <c r="D36" s="6" t="s">
        <v>54</v>
      </c>
      <c r="E36" s="6"/>
      <c r="F36" s="6"/>
      <c r="G36" s="6"/>
      <c r="H36" s="6"/>
      <c r="I36" s="6"/>
    </row>
    <row r="37" spans="1:9" ht="18" customHeight="1" x14ac:dyDescent="0.15">
      <c r="A37" s="6" t="s">
        <v>55</v>
      </c>
      <c r="B37" s="113">
        <f>'Wohnphase 2'!B37</f>
        <v>55000</v>
      </c>
      <c r="C37" s="50"/>
      <c r="D37" s="6"/>
      <c r="E37" s="6"/>
      <c r="F37" s="6"/>
      <c r="G37" s="6"/>
      <c r="H37" s="6"/>
      <c r="I37" s="6"/>
    </row>
    <row r="38" spans="1:9" ht="18" customHeight="1" x14ac:dyDescent="0.15">
      <c r="A38" s="6" t="s">
        <v>57</v>
      </c>
      <c r="B38" s="114">
        <f>'Wohnphase 2'!B38</f>
        <v>4000</v>
      </c>
      <c r="C38" s="55"/>
      <c r="D38" s="6" t="s">
        <v>103</v>
      </c>
      <c r="E38" s="6"/>
      <c r="F38" s="6"/>
      <c r="G38" s="6"/>
      <c r="H38" s="6"/>
      <c r="I38" s="6"/>
    </row>
    <row r="39" spans="1:9" ht="18" customHeight="1" thickBot="1" x14ac:dyDescent="0.2">
      <c r="A39" s="56" t="s">
        <v>59</v>
      </c>
      <c r="B39" s="115">
        <f>'Wohnphase 2'!B39</f>
        <v>1600000</v>
      </c>
      <c r="C39" s="6"/>
      <c r="D39" s="6"/>
      <c r="E39" s="6"/>
      <c r="F39" s="6"/>
      <c r="G39" s="6"/>
      <c r="H39" s="6"/>
      <c r="I39" s="6"/>
    </row>
    <row r="40" spans="1:9" ht="18" customHeight="1" thickBot="1" x14ac:dyDescent="0.2">
      <c r="A40" s="15"/>
      <c r="B40" s="57"/>
    </row>
    <row r="41" spans="1:9" ht="18" customHeight="1" thickBot="1" x14ac:dyDescent="0.2">
      <c r="A41" s="28" t="str">
        <f>'Wohnphase 1'!A41</f>
        <v>Finanzierung Stiftung trias</v>
      </c>
      <c r="B41" s="147" t="str">
        <f>'Wohnphase 1'!B41</f>
        <v>€</v>
      </c>
      <c r="C41" s="148" t="str">
        <f>'Wohnphase 1'!C41</f>
        <v>Kommentar</v>
      </c>
    </row>
    <row r="42" spans="1:9" ht="18" customHeight="1" x14ac:dyDescent="0.15">
      <c r="A42" s="58" t="str">
        <f>'Wohnphase 1'!A42</f>
        <v>Zustiftung seitens Projekt</v>
      </c>
      <c r="B42" s="103">
        <f>'Wohnphase 1'!B42</f>
        <v>260000</v>
      </c>
      <c r="C42" s="168">
        <f>B42/B45</f>
        <v>0.32911392405063289</v>
      </c>
    </row>
    <row r="43" spans="1:9" ht="18" customHeight="1" x14ac:dyDescent="0.15">
      <c r="A43" s="58" t="str">
        <f>'Wohnphase 1'!A43</f>
        <v>Sondervermögen f. München + Umg.</v>
      </c>
      <c r="B43" s="103">
        <f>'Wohnphase 1'!B43</f>
        <v>0</v>
      </c>
      <c r="C43" s="168">
        <f>B43/B45</f>
        <v>0</v>
      </c>
    </row>
    <row r="44" spans="1:9" ht="18" customHeight="1" thickBot="1" x14ac:dyDescent="0.2">
      <c r="A44" s="119" t="str">
        <f>'Wohnphase 1'!A44</f>
        <v>sonstige Mittel der Stiftung + Partner</v>
      </c>
      <c r="B44" s="164">
        <f>'Wohnphase 1'!B44</f>
        <v>530000</v>
      </c>
    </row>
    <row r="45" spans="1:9" ht="18" customHeight="1" thickBot="1" x14ac:dyDescent="0.2">
      <c r="A45" s="28" t="str">
        <f>'Wohnphase 1'!A45</f>
        <v>Summe</v>
      </c>
      <c r="B45" s="165">
        <f>'Wohnphase 1'!B45</f>
        <v>790000</v>
      </c>
    </row>
    <row r="46" spans="1:9" s="41" customFormat="1" ht="18" customHeight="1" thickBot="1" x14ac:dyDescent="0.2">
      <c r="B46" s="42"/>
      <c r="C46" s="4"/>
      <c r="D46" s="4"/>
      <c r="E46" s="4"/>
      <c r="F46" s="4"/>
      <c r="G46" s="4"/>
    </row>
    <row r="47" spans="1:9" ht="18" customHeight="1" thickBot="1" x14ac:dyDescent="0.2">
      <c r="A47" s="47" t="str">
        <f>'Wohnphase 2'!A47</f>
        <v>Finanzierung Projekt</v>
      </c>
      <c r="B47" s="178" t="s">
        <v>15</v>
      </c>
      <c r="C47" s="170" t="str">
        <f>'Wohnphase 2'!C47</f>
        <v>Kommentar</v>
      </c>
      <c r="D47" s="78" t="str">
        <f>'Wohnphase 2'!D47</f>
        <v>Zins p.a.</v>
      </c>
      <c r="E47" s="79" t="str">
        <f>'Wohnphase 2'!E47</f>
        <v>Tilgung</v>
      </c>
      <c r="F47" s="79" t="str">
        <f>'Wohnphase 2'!F47</f>
        <v>Zins fest für</v>
      </c>
      <c r="G47" s="80" t="str">
        <f>'Wohnphase 2'!G47</f>
        <v>Kapitaldienst p.a.</v>
      </c>
      <c r="H47" s="181"/>
      <c r="I47" s="180" t="str">
        <f>'Wohnphase 2'!$I$47</f>
        <v>Saldo nach dieser Phase</v>
      </c>
    </row>
    <row r="48" spans="1:9" ht="18" customHeight="1" x14ac:dyDescent="0.15">
      <c r="A48" s="60" t="str">
        <f>'Wohnphase 2'!A48</f>
        <v>eG Anteile</v>
      </c>
      <c r="B48" s="109">
        <f>'Wohnphase 2'!B48</f>
        <v>1000000</v>
      </c>
      <c r="C48" s="172">
        <f>'Wohnphase 2'!C48</f>
        <v>0.625</v>
      </c>
      <c r="D48" s="191">
        <f>B48/B10</f>
        <v>3125</v>
      </c>
      <c r="E48" s="183"/>
      <c r="F48" s="83"/>
      <c r="G48" s="84"/>
      <c r="H48" s="83"/>
      <c r="I48" s="83"/>
    </row>
    <row r="49" spans="1:256" ht="18" hidden="1" customHeight="1" x14ac:dyDescent="0.15">
      <c r="A49" s="6" t="str">
        <f>'Wohnphase 2'!A49</f>
        <v>Private Darlehen</v>
      </c>
      <c r="B49" s="169">
        <f>'Wohnphase 2'!B49</f>
        <v>0</v>
      </c>
      <c r="C49" s="49">
        <f>'Wohnphase 2'!C49</f>
        <v>0</v>
      </c>
      <c r="D49" s="184">
        <f>'Wohnphase 2'!D49</f>
        <v>0</v>
      </c>
      <c r="E49" s="184">
        <f>'Wohnphase 2'!E49</f>
        <v>0</v>
      </c>
      <c r="F49" s="171">
        <f>'Wohnphase 2'!F49</f>
        <v>0</v>
      </c>
      <c r="G49" s="162">
        <f>'Wohnphase 2'!G49</f>
        <v>0</v>
      </c>
      <c r="H49" s="49">
        <f>'Wohnphase 2'!H49</f>
        <v>0</v>
      </c>
      <c r="I49" s="49">
        <f>'Wohnphase 2'!I49</f>
        <v>0</v>
      </c>
    </row>
    <row r="50" spans="1:256" ht="18" hidden="1" customHeight="1" x14ac:dyDescent="0.15">
      <c r="A50" s="6" t="str">
        <f>'Wohnphase 2'!A50</f>
        <v>Öffentliche Mittel:</v>
      </c>
      <c r="B50" s="169">
        <f>'Wohnphase 2'!B50</f>
        <v>0</v>
      </c>
      <c r="C50" s="49">
        <f>'Wohnphase 2'!C50</f>
        <v>0</v>
      </c>
      <c r="D50" s="184">
        <f>'Wohnphase 2'!D50</f>
        <v>0</v>
      </c>
      <c r="E50" s="184">
        <f>'Wohnphase 2'!E50</f>
        <v>0</v>
      </c>
      <c r="F50" s="171">
        <f>'Wohnphase 2'!F50</f>
        <v>0</v>
      </c>
      <c r="G50" s="162">
        <f>'Wohnphase 2'!G50</f>
        <v>0</v>
      </c>
      <c r="H50" s="49">
        <f>'Wohnphase 2'!H50</f>
        <v>0</v>
      </c>
      <c r="I50" s="49">
        <f>'Wohnphase 2'!I50</f>
        <v>0</v>
      </c>
    </row>
    <row r="51" spans="1:256" ht="18" hidden="1" customHeight="1" x14ac:dyDescent="0.15">
      <c r="A51" s="6" t="str">
        <f>'Wohnphase 2'!A51</f>
        <v>GLS Bürgschaftsdarlehen</v>
      </c>
      <c r="B51" s="169">
        <f>'Wohnphase 2'!B51</f>
        <v>0</v>
      </c>
      <c r="C51" s="49">
        <f>'Wohnphase 2'!C51</f>
        <v>0</v>
      </c>
      <c r="D51" s="184">
        <f>'Wohnphase 2'!D51</f>
        <v>0</v>
      </c>
      <c r="E51" s="184">
        <f>'Wohnphase 2'!E51</f>
        <v>0</v>
      </c>
      <c r="F51" s="171">
        <f>'Wohnphase 2'!F51</f>
        <v>0</v>
      </c>
      <c r="G51" s="162">
        <f>'Wohnphase 2'!G51</f>
        <v>0</v>
      </c>
      <c r="H51" s="49">
        <f>'Wohnphase 2'!H51</f>
        <v>0</v>
      </c>
      <c r="I51" s="49">
        <f>'Wohnphase 2'!I51</f>
        <v>0</v>
      </c>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row>
    <row r="52" spans="1:256" ht="18" customHeight="1" x14ac:dyDescent="0.15">
      <c r="A52" s="6" t="str">
        <f>'Wohnphase 2'!A52</f>
        <v>GLS Grundschulddarlehen</v>
      </c>
      <c r="B52" s="169">
        <f>'Wohnphase 2'!B52</f>
        <v>600000</v>
      </c>
      <c r="C52" s="49"/>
      <c r="D52" s="184"/>
      <c r="E52" s="184"/>
      <c r="F52" s="171"/>
      <c r="G52" s="162"/>
      <c r="H52" s="49"/>
      <c r="I52" s="113"/>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row>
    <row r="53" spans="1:256" ht="18" hidden="1" customHeight="1" x14ac:dyDescent="0.15">
      <c r="A53" s="6" t="str">
        <f>'Wohnphase 2'!A53</f>
        <v xml:space="preserve">KfW-CO²-Einsparung u. ä. </v>
      </c>
      <c r="B53" s="110">
        <f>'Wohnphase 2'!B53</f>
        <v>0</v>
      </c>
      <c r="C53" s="61">
        <f>'Wohnphase 2'!C53</f>
        <v>0</v>
      </c>
      <c r="D53" s="185">
        <f>'Wohnphase 2'!D53</f>
        <v>0</v>
      </c>
      <c r="E53" s="185">
        <f>'Wohnphase 2'!E53</f>
        <v>0</v>
      </c>
      <c r="F53" s="81">
        <f>'Wohnphase 2'!F53</f>
        <v>0</v>
      </c>
      <c r="G53" s="82"/>
      <c r="H53" s="77">
        <f>'Wohnphase 2'!H53</f>
        <v>0</v>
      </c>
      <c r="I53" s="61">
        <f>'Wohnphase 2'!I53</f>
        <v>0</v>
      </c>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row>
    <row r="54" spans="1:256" ht="18" customHeight="1" thickBot="1" x14ac:dyDescent="0.2">
      <c r="A54" s="6" t="str">
        <f>'Wohnphase 2'!A54</f>
        <v>Sonstige Mittel:</v>
      </c>
      <c r="B54" s="110">
        <f>'Wohnphase 2'!B54</f>
        <v>0</v>
      </c>
      <c r="C54" s="64"/>
      <c r="D54" s="186"/>
      <c r="E54" s="187"/>
      <c r="F54" s="63"/>
      <c r="G54" s="72"/>
      <c r="H54" s="65"/>
      <c r="I54" s="64"/>
    </row>
    <row r="55" spans="1:256" ht="18" customHeight="1" thickBot="1" x14ac:dyDescent="0.2">
      <c r="A55" s="47" t="str">
        <f>'Wohnphase 2'!A55</f>
        <v>Gesamtfinanzierung</v>
      </c>
      <c r="B55" s="166">
        <f>'Wohnphase 2'!B55</f>
        <v>1600000</v>
      </c>
      <c r="E55" s="7"/>
      <c r="F55" s="7"/>
      <c r="G55" s="72"/>
      <c r="H55" s="11"/>
    </row>
    <row r="56" spans="1:256" ht="18" customHeight="1" thickBot="1" x14ac:dyDescent="0.2">
      <c r="A56" s="15"/>
      <c r="G56" s="15"/>
      <c r="I56" s="157"/>
    </row>
    <row r="57" spans="1:256" ht="18" customHeight="1" thickBot="1" x14ac:dyDescent="0.2">
      <c r="A57" s="47" t="s">
        <v>84</v>
      </c>
      <c r="B57" s="66" t="s">
        <v>15</v>
      </c>
      <c r="C57" s="73"/>
      <c r="D57" s="182" t="str">
        <f>Bezug!D57</f>
        <v>Konkret angesetzt</v>
      </c>
    </row>
    <row r="58" spans="1:256" ht="18" customHeight="1" x14ac:dyDescent="0.15">
      <c r="A58" s="6" t="s">
        <v>85</v>
      </c>
      <c r="B58" s="110">
        <f>F17</f>
        <v>57600</v>
      </c>
      <c r="C58" s="73"/>
      <c r="D58" s="67"/>
    </row>
    <row r="59" spans="1:256" ht="18" customHeight="1" x14ac:dyDescent="0.15">
      <c r="A59" s="6" t="s">
        <v>86</v>
      </c>
      <c r="B59" s="110"/>
      <c r="C59" s="73"/>
      <c r="D59" s="68"/>
    </row>
    <row r="60" spans="1:256" ht="18" customHeight="1" x14ac:dyDescent="0.15">
      <c r="A60" s="6" t="s">
        <v>87</v>
      </c>
      <c r="B60" s="110">
        <f>-D30</f>
        <v>-39500</v>
      </c>
      <c r="C60" s="73"/>
      <c r="D60" s="69"/>
    </row>
    <row r="61" spans="1:256" ht="18" customHeight="1" x14ac:dyDescent="0.15">
      <c r="A61" s="6" t="s">
        <v>88</v>
      </c>
      <c r="B61" s="110">
        <f>-D61*B17*12</f>
        <v>-3840</v>
      </c>
      <c r="C61" s="73"/>
      <c r="D61" s="68">
        <v>1</v>
      </c>
      <c r="E61" s="4" t="s">
        <v>106</v>
      </c>
    </row>
    <row r="62" spans="1:256" ht="18" customHeight="1" x14ac:dyDescent="0.15">
      <c r="A62" s="6" t="s">
        <v>107</v>
      </c>
      <c r="B62" s="110">
        <f>-5265-2270-2500</f>
        <v>-10035</v>
      </c>
      <c r="C62" s="59"/>
      <c r="D62" s="154" t="s">
        <v>108</v>
      </c>
      <c r="E62" s="154"/>
      <c r="F62" s="175"/>
      <c r="G62" s="176"/>
      <c r="H62" s="176"/>
      <c r="I62" s="177"/>
    </row>
    <row r="63" spans="1:256" ht="18" customHeight="1" x14ac:dyDescent="0.15">
      <c r="A63" s="6" t="s">
        <v>93</v>
      </c>
      <c r="B63" s="110">
        <f>B58*(-D63)</f>
        <v>-864</v>
      </c>
      <c r="C63" s="73"/>
      <c r="D63" s="107">
        <v>1.4999999999999999E-2</v>
      </c>
      <c r="E63" s="174"/>
    </row>
    <row r="64" spans="1:256" ht="18" customHeight="1" x14ac:dyDescent="0.15">
      <c r="A64" s="6" t="s">
        <v>94</v>
      </c>
      <c r="B64" s="110">
        <f>G55</f>
        <v>0</v>
      </c>
      <c r="C64" s="73"/>
      <c r="D64" s="153">
        <f>-(B61+B62+B63)/B58</f>
        <v>0.25588541666666664</v>
      </c>
      <c r="E64" s="76" t="s">
        <v>109</v>
      </c>
      <c r="F64" s="5" t="s">
        <v>96</v>
      </c>
    </row>
    <row r="65" spans="1:4" ht="18" customHeight="1" thickBot="1" x14ac:dyDescent="0.2">
      <c r="A65" s="6" t="s">
        <v>110</v>
      </c>
      <c r="B65" s="110"/>
      <c r="C65" s="74"/>
      <c r="D65" s="70"/>
    </row>
    <row r="66" spans="1:4" ht="18" customHeight="1" thickBot="1" x14ac:dyDescent="0.2">
      <c r="A66" s="47" t="str">
        <f>IF(B66&lt;0,"Unterdeckung","Überschuss")</f>
        <v>Überschuss</v>
      </c>
      <c r="B66" s="167">
        <f>SUM(B58:B65)</f>
        <v>3361</v>
      </c>
    </row>
    <row r="67" spans="1:4" ht="18" customHeight="1" thickBot="1" x14ac:dyDescent="0.2">
      <c r="B67" s="71">
        <f>(B66/B10/12)</f>
        <v>0.87526041666666676</v>
      </c>
    </row>
    <row r="68" spans="1:4" ht="18" customHeight="1" thickBot="1" x14ac:dyDescent="0.2">
      <c r="A68" s="47" t="s">
        <v>111</v>
      </c>
      <c r="B68" s="108">
        <f>C10-B67</f>
        <v>14.124739583333334</v>
      </c>
      <c r="C68" s="21"/>
      <c r="D68" s="92"/>
    </row>
    <row r="69" spans="1:4" ht="18" customHeight="1" x14ac:dyDescent="0.15"/>
    <row r="70" spans="1:4" ht="18" customHeight="1" x14ac:dyDescent="0.15"/>
    <row r="71" spans="1:4" ht="18" customHeight="1" x14ac:dyDescent="0.15"/>
    <row r="72" spans="1:4" ht="18" customHeight="1" x14ac:dyDescent="0.15"/>
    <row r="73" spans="1:4" ht="18" customHeight="1" x14ac:dyDescent="0.15"/>
    <row r="74" spans="1:4" ht="18" customHeight="1" x14ac:dyDescent="0.15"/>
    <row r="75" spans="1:4" ht="18" customHeight="1" x14ac:dyDescent="0.15"/>
    <row r="76" spans="1:4" ht="18" customHeight="1" x14ac:dyDescent="0.15"/>
    <row r="77" spans="1:4" ht="18" customHeight="1" x14ac:dyDescent="0.15"/>
    <row r="78" spans="1:4" ht="18" customHeight="1" x14ac:dyDescent="0.15"/>
    <row r="79" spans="1:4" ht="18" customHeight="1" x14ac:dyDescent="0.15"/>
    <row r="80" spans="1:4"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sheetData>
  <pageMargins left="0.5" right="0.5" top="0.5" bottom="0.5" header="0" footer="0"/>
  <pageSetup paperSize="9" scale="60" orientation="landscape" horizontalDpi="360" verticalDpi="360"/>
  <headerFooter alignWithMargins="0">
    <oddFooter xml:space="preserve">&amp;L
&amp;C Stiftung trias </oddFooter>
  </headerFooter>
  <rowBreaks count="1" manualBreakCount="1">
    <brk id="66" max="9" man="1"/>
  </rowBreaks>
  <colBreaks count="1" manualBreakCount="1">
    <brk id="11" max="1048575" man="1"/>
  </colBreaks>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A6209D773978340A0E2AD82AB4E4D99" ma:contentTypeVersion="10" ma:contentTypeDescription="Ein neues Dokument erstellen." ma:contentTypeScope="" ma:versionID="173e029123920d908601ad40879eba19">
  <xsd:schema xmlns:xsd="http://www.w3.org/2001/XMLSchema" xmlns:xs="http://www.w3.org/2001/XMLSchema" xmlns:p="http://schemas.microsoft.com/office/2006/metadata/properties" xmlns:ns2="2bc480ea-36d1-4f7a-991f-40e17511fd64" xmlns:ns3="389b92ba-5b16-42e4-a876-bcd33210e1dd" targetNamespace="http://schemas.microsoft.com/office/2006/metadata/properties" ma:root="true" ma:fieldsID="8f419dc1c6f4afaa3186beb14c73d328" ns2:_="" ns3:_="">
    <xsd:import namespace="2bc480ea-36d1-4f7a-991f-40e17511fd64"/>
    <xsd:import namespace="389b92ba-5b16-42e4-a876-bcd33210e1d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480ea-36d1-4f7a-991f-40e17511fd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8a2c7b93-8cb4-441e-a7bf-644c3ebf8b6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9b92ba-5b16-42e4-a876-bcd33210e1d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abf3845-1082-4dc1-9023-2b3a0a5a7e50}" ma:internalName="TaxCatchAll" ma:showField="CatchAllData" ma:web="389b92ba-5b16-42e4-a876-bcd33210e1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89b92ba-5b16-42e4-a876-bcd33210e1dd" xsi:nil="true"/>
    <lcf76f155ced4ddcb4097134ff3c332f xmlns="2bc480ea-36d1-4f7a-991f-40e17511fd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0BF5655-42E7-469E-A27C-A8FFFBF35626}">
  <ds:schemaRefs>
    <ds:schemaRef ds:uri="http://schemas.microsoft.com/sharepoint/v3/contenttype/forms"/>
  </ds:schemaRefs>
</ds:datastoreItem>
</file>

<file path=customXml/itemProps2.xml><?xml version="1.0" encoding="utf-8"?>
<ds:datastoreItem xmlns:ds="http://schemas.openxmlformats.org/officeDocument/2006/customXml" ds:itemID="{6468559E-B00D-4626-8F13-F1E22EEB27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480ea-36d1-4f7a-991f-40e17511fd64"/>
    <ds:schemaRef ds:uri="389b92ba-5b16-42e4-a876-bcd33210e1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6616CB-8F7A-456E-9681-D1A0BE58A5EF}">
  <ds:schemaRefs>
    <ds:schemaRef ds:uri="2bc480ea-36d1-4f7a-991f-40e17511fd64"/>
    <ds:schemaRef ds:uri="http://purl.org/dc/elements/1.1/"/>
    <ds:schemaRef ds:uri="http://www.w3.org/XML/1998/namespace"/>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389b92ba-5b16-42e4-a876-bcd33210e1dd"/>
  </ds:schemaRefs>
</ds:datastoreItem>
</file>

<file path=docMetadata/LabelInfo.xml><?xml version="1.0" encoding="utf-8"?>
<clbl:labelList xmlns:clbl="http://schemas.microsoft.com/office/2020/mipLabelMetadata">
  <clbl:label id="{f978fa30-3597-4fa5-b6f7-05d3d71df64c}" enabled="0" method="" siteId="{f978fa30-3597-4fa5-b6f7-05d3d71df64c}" removed="1"/>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5</vt:i4>
      </vt:variant>
      <vt:variant>
        <vt:lpstr>Benannte Bereiche</vt:lpstr>
      </vt:variant>
      <vt:variant>
        <vt:i4>6</vt:i4>
      </vt:variant>
    </vt:vector>
  </HeadingPairs>
  <TitlesOfParts>
    <vt:vector size="11" baseType="lpstr">
      <vt:lpstr>Umbauphase</vt:lpstr>
      <vt:lpstr>Bezug</vt:lpstr>
      <vt:lpstr>Wohnphase 1</vt:lpstr>
      <vt:lpstr>Wohnphase 2</vt:lpstr>
      <vt:lpstr>Nächste Generation</vt:lpstr>
      <vt:lpstr>Bezug!Druckbereich</vt:lpstr>
      <vt:lpstr>'Nächste Generation'!Druckbereich</vt:lpstr>
      <vt:lpstr>Umbauphase!Druckbereich</vt:lpstr>
      <vt:lpstr>'Wohnphase 1'!Druckbereich</vt:lpstr>
      <vt:lpstr>'Wohnphase 2'!Druckbereich</vt:lpstr>
      <vt:lpstr>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Rolf</dc:creator>
  <cp:keywords/>
  <dc:description>Objektbogen (Daten, Berechnungen, Unterlagen</dc:description>
  <cp:lastModifiedBy>Hemmerle, David</cp:lastModifiedBy>
  <cp:revision/>
  <dcterms:created xsi:type="dcterms:W3CDTF">2003-03-07T18:36:13Z</dcterms:created>
  <dcterms:modified xsi:type="dcterms:W3CDTF">2023-11-02T19:20:17Z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0x010100CA6209D773978340A0E2AD82AB4E4D99</vt:lpwstr>
  </property>
  <property fmtid="{D5CDD505-2E9C-101B-9397-08002B2CF9AE}" pid="3" name="MediaServiceImageTags">
    <vt:lpwstr/>
  </property>
</Properties>
</file>